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10" windowWidth="16590" windowHeight="9435"/>
  </bookViews>
  <sheets>
    <sheet name="General " sheetId="15" r:id="rId1"/>
    <sheet name="Personal Directivo de Libre Des" sheetId="16" r:id="rId2"/>
  </sheets>
  <calcPr calcId="145621"/>
</workbook>
</file>

<file path=xl/calcChain.xml><?xml version="1.0" encoding="utf-8"?>
<calcChain xmlns="http://schemas.openxmlformats.org/spreadsheetml/2006/main">
  <c r="D7" i="16" l="1"/>
  <c r="C7" i="16" s="1"/>
  <c r="G34" i="15" l="1"/>
  <c r="E34" i="15"/>
  <c r="D34" i="15"/>
  <c r="F31" i="15"/>
  <c r="G31" i="15"/>
  <c r="E31" i="15"/>
  <c r="D31" i="15"/>
  <c r="C31" i="15"/>
  <c r="D9" i="15" l="1"/>
  <c r="F9" i="15"/>
  <c r="H9" i="15"/>
  <c r="J9" i="15"/>
  <c r="L9" i="15"/>
  <c r="J7" i="15" l="1"/>
  <c r="H7" i="15"/>
  <c r="F7" i="15"/>
  <c r="D7" i="15"/>
  <c r="L7" i="15"/>
  <c r="L14" i="15" s="1"/>
  <c r="C26" i="15"/>
  <c r="D26" i="15"/>
  <c r="E26" i="15"/>
  <c r="F26" i="15"/>
  <c r="G26" i="15"/>
  <c r="E37" i="15"/>
  <c r="D37" i="15"/>
  <c r="D36" i="15"/>
  <c r="C36" i="15"/>
  <c r="C38" i="15"/>
  <c r="C37" i="15"/>
  <c r="E36" i="15"/>
  <c r="F37" i="15"/>
  <c r="F36" i="15"/>
  <c r="C40" i="15"/>
  <c r="D40" i="15"/>
  <c r="E40" i="15"/>
  <c r="F40" i="15"/>
  <c r="G40" i="15"/>
  <c r="G37" i="15"/>
  <c r="G36" i="15"/>
  <c r="F14" i="15" l="1"/>
  <c r="F15" i="15"/>
  <c r="H14" i="15"/>
  <c r="H15" i="15"/>
  <c r="J15" i="15"/>
  <c r="J14" i="15"/>
  <c r="C47" i="15"/>
  <c r="C46" i="15"/>
  <c r="C45" i="15"/>
  <c r="D47" i="15"/>
  <c r="D46" i="15"/>
  <c r="D45" i="15"/>
  <c r="E47" i="15"/>
  <c r="E46" i="15"/>
  <c r="E45" i="15"/>
  <c r="E44" i="15"/>
  <c r="D44" i="15"/>
  <c r="C44" i="15"/>
  <c r="F44" i="15"/>
  <c r="G44" i="15"/>
  <c r="H44" i="15"/>
  <c r="I44" i="15"/>
  <c r="E57" i="15"/>
  <c r="E56" i="15"/>
  <c r="E55" i="15"/>
  <c r="E54" i="15"/>
  <c r="E53" i="15"/>
  <c r="E52" i="15"/>
  <c r="F57" i="15"/>
  <c r="F56" i="15"/>
  <c r="F55" i="15"/>
  <c r="F54" i="15"/>
  <c r="F53" i="15"/>
  <c r="F52" i="15"/>
  <c r="J77" i="15"/>
  <c r="J76" i="15"/>
  <c r="J75" i="15"/>
  <c r="J74" i="15"/>
  <c r="L76" i="15"/>
  <c r="L75" i="15"/>
  <c r="L74" i="15"/>
  <c r="L73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66" i="15"/>
  <c r="L69" i="15"/>
  <c r="L68" i="15"/>
  <c r="L67" i="15"/>
  <c r="L65" i="15"/>
  <c r="E63" i="15"/>
  <c r="E62" i="15"/>
  <c r="E61" i="15"/>
  <c r="E60" i="15"/>
  <c r="I51" i="15"/>
  <c r="H27" i="15"/>
  <c r="F34" i="15" l="1"/>
  <c r="I77" i="15" l="1"/>
  <c r="K56" i="15"/>
  <c r="K52" i="15"/>
  <c r="K48" i="15"/>
  <c r="K45" i="15"/>
  <c r="K44" i="15"/>
  <c r="K42" i="15"/>
  <c r="K36" i="15"/>
  <c r="K33" i="15"/>
  <c r="F13" i="15"/>
  <c r="E13" i="15" s="1"/>
  <c r="I14" i="15"/>
  <c r="K9" i="15"/>
  <c r="I32" i="15"/>
  <c r="H32" i="15" s="1"/>
  <c r="K76" i="15"/>
  <c r="I76" i="15"/>
  <c r="K75" i="15"/>
  <c r="I75" i="15"/>
  <c r="K74" i="15"/>
  <c r="I74" i="15"/>
  <c r="K73" i="15"/>
  <c r="E73" i="15"/>
  <c r="E74" i="15" s="1"/>
  <c r="C73" i="15"/>
  <c r="C74" i="15" s="1"/>
  <c r="E72" i="15"/>
  <c r="C72" i="15"/>
  <c r="E71" i="15"/>
  <c r="C71" i="15"/>
  <c r="E70" i="15"/>
  <c r="E69" i="15"/>
  <c r="E68" i="15"/>
  <c r="I63" i="15"/>
  <c r="K61" i="15"/>
  <c r="K60" i="15"/>
  <c r="K59" i="15"/>
  <c r="G59" i="15"/>
  <c r="H59" i="15" s="1"/>
  <c r="I59" i="15" s="1"/>
  <c r="K58" i="15"/>
  <c r="K57" i="15"/>
  <c r="H56" i="15"/>
  <c r="I56" i="15" s="1"/>
  <c r="K55" i="15"/>
  <c r="K54" i="15"/>
  <c r="K53" i="15"/>
  <c r="K51" i="15"/>
  <c r="K50" i="15"/>
  <c r="K49" i="15"/>
  <c r="K47" i="15"/>
  <c r="G47" i="15"/>
  <c r="F47" i="15"/>
  <c r="K46" i="15"/>
  <c r="G45" i="15"/>
  <c r="F45" i="15"/>
  <c r="I45" i="15"/>
  <c r="I46" i="15" s="1"/>
  <c r="I47" i="15" s="1"/>
  <c r="H47" i="15"/>
  <c r="G46" i="15"/>
  <c r="F46" i="15"/>
  <c r="K43" i="15"/>
  <c r="K41" i="15"/>
  <c r="K40" i="15"/>
  <c r="K39" i="15"/>
  <c r="K38" i="15"/>
  <c r="K37" i="15"/>
  <c r="K35" i="15"/>
  <c r="K34" i="15"/>
  <c r="C34" i="15"/>
  <c r="J33" i="15"/>
  <c r="J34" i="15" s="1"/>
  <c r="J35" i="15" s="1"/>
  <c r="J36" i="15" s="1"/>
  <c r="J37" i="15" s="1"/>
  <c r="J38" i="15" s="1"/>
  <c r="J39" i="15" s="1"/>
  <c r="J40" i="15" s="1"/>
  <c r="J41" i="15" s="1"/>
  <c r="J42" i="15" s="1"/>
  <c r="J43" i="15" s="1"/>
  <c r="J44" i="15" s="1"/>
  <c r="J45" i="15" s="1"/>
  <c r="J46" i="15" s="1"/>
  <c r="J47" i="15" s="1"/>
  <c r="J48" i="15" s="1"/>
  <c r="J49" i="15" s="1"/>
  <c r="J50" i="15" s="1"/>
  <c r="J51" i="15" s="1"/>
  <c r="J52" i="15" s="1"/>
  <c r="J53" i="15" s="1"/>
  <c r="J54" i="15" s="1"/>
  <c r="J55" i="15" s="1"/>
  <c r="J56" i="15" s="1"/>
  <c r="J57" i="15" s="1"/>
  <c r="J58" i="15" s="1"/>
  <c r="J59" i="15" s="1"/>
  <c r="J60" i="15" s="1"/>
  <c r="J61" i="15" s="1"/>
  <c r="K32" i="15"/>
  <c r="G32" i="15"/>
  <c r="C32" i="15"/>
  <c r="F32" i="15"/>
  <c r="E32" i="15"/>
  <c r="D32" i="15"/>
  <c r="K18" i="15"/>
  <c r="I18" i="15"/>
  <c r="G18" i="15"/>
  <c r="E18" i="15"/>
  <c r="C18" i="15"/>
  <c r="K17" i="15"/>
  <c r="I17" i="15"/>
  <c r="G17" i="15"/>
  <c r="E17" i="15"/>
  <c r="C17" i="15"/>
  <c r="E14" i="15"/>
  <c r="J12" i="15"/>
  <c r="I12" i="15" s="1"/>
  <c r="F12" i="15"/>
  <c r="E12" i="15" s="1"/>
  <c r="J10" i="15"/>
  <c r="I10" i="15" s="1"/>
  <c r="I9" i="15"/>
  <c r="G9" i="15"/>
  <c r="E9" i="15"/>
  <c r="C9" i="15"/>
  <c r="J8" i="15"/>
  <c r="F8" i="15"/>
  <c r="I7" i="15"/>
  <c r="G15" i="15"/>
  <c r="G7" i="15"/>
  <c r="E7" i="15"/>
  <c r="D11" i="15"/>
  <c r="C11" i="15" s="1"/>
  <c r="C7" i="15"/>
  <c r="I8" i="15" l="1"/>
  <c r="E8" i="15"/>
  <c r="K7" i="15"/>
  <c r="G27" i="15" s="1"/>
  <c r="F27" i="15"/>
  <c r="F28" i="15"/>
  <c r="D28" i="15"/>
  <c r="D27" i="15"/>
  <c r="G28" i="15"/>
  <c r="C76" i="15"/>
  <c r="C77" i="15"/>
  <c r="C75" i="15"/>
  <c r="E27" i="15"/>
  <c r="E28" i="15"/>
  <c r="E76" i="15"/>
  <c r="E77" i="15"/>
  <c r="E75" i="15"/>
  <c r="C28" i="15"/>
  <c r="C27" i="15"/>
  <c r="H11" i="15"/>
  <c r="G11" i="15" s="1"/>
  <c r="L11" i="15"/>
  <c r="K11" i="15" s="1"/>
  <c r="D15" i="15"/>
  <c r="C15" i="15" s="1"/>
  <c r="H22" i="15"/>
  <c r="D8" i="15"/>
  <c r="H8" i="15"/>
  <c r="L8" i="15"/>
  <c r="H10" i="15"/>
  <c r="G10" i="15" s="1"/>
  <c r="L10" i="15"/>
  <c r="K10" i="15" s="1"/>
  <c r="F11" i="15"/>
  <c r="E11" i="15" s="1"/>
  <c r="J11" i="15"/>
  <c r="I11" i="15" s="1"/>
  <c r="D12" i="15"/>
  <c r="C12" i="15" s="1"/>
  <c r="H12" i="15"/>
  <c r="G12" i="15" s="1"/>
  <c r="D13" i="15"/>
  <c r="C13" i="15" s="1"/>
  <c r="D14" i="15"/>
  <c r="C14" i="15" s="1"/>
  <c r="G14" i="15"/>
  <c r="K14" i="15"/>
  <c r="E15" i="15"/>
  <c r="I15" i="15"/>
  <c r="F22" i="15"/>
  <c r="J22" i="15"/>
  <c r="I38" i="15"/>
  <c r="H38" i="15" s="1"/>
  <c r="G22" i="15"/>
  <c r="K22" i="15"/>
  <c r="H46" i="15"/>
  <c r="I35" i="15"/>
  <c r="H35" i="15" s="1"/>
  <c r="L22" i="15"/>
  <c r="E22" i="15"/>
  <c r="I22" i="15"/>
  <c r="H45" i="15"/>
  <c r="G8" i="15" l="1"/>
  <c r="C8" i="15"/>
  <c r="J23" i="15"/>
  <c r="E23" i="15"/>
  <c r="K23" i="15"/>
  <c r="F23" i="15"/>
  <c r="H23" i="15"/>
  <c r="L23" i="15"/>
  <c r="G23" i="15"/>
  <c r="K8" i="15"/>
  <c r="I23" i="15"/>
  <c r="C29" i="15"/>
  <c r="D29" i="15"/>
  <c r="E29" i="15"/>
  <c r="F29" i="15"/>
  <c r="G29" i="15"/>
</calcChain>
</file>

<file path=xl/sharedStrings.xml><?xml version="1.0" encoding="utf-8"?>
<sst xmlns="http://schemas.openxmlformats.org/spreadsheetml/2006/main" count="238" uniqueCount="160">
  <si>
    <t>NIVEL</t>
  </si>
  <si>
    <t>A</t>
  </si>
  <si>
    <t>B</t>
  </si>
  <si>
    <t>C</t>
  </si>
  <si>
    <t>I</t>
  </si>
  <si>
    <t>Actualizac.:</t>
  </si>
  <si>
    <t>Horas cómputo anual de jornada:</t>
  </si>
  <si>
    <t>Nivel o grupo</t>
  </si>
  <si>
    <t>D</t>
  </si>
  <si>
    <t>E</t>
  </si>
  <si>
    <t>AÑO</t>
  </si>
  <si>
    <t>MES</t>
  </si>
  <si>
    <t>Sueldo inicial o base</t>
  </si>
  <si>
    <t>Grado (pers.funcionario)</t>
  </si>
  <si>
    <t>Trienios (p.laboral y estat.)</t>
  </si>
  <si>
    <t>Cto. nivel/grupo (A.núcleo)</t>
  </si>
  <si>
    <t>Turnicidad</t>
  </si>
  <si>
    <t>Cto.ded.exclusiva (A.núcl.)</t>
  </si>
  <si>
    <t>Cto.incompat.(A.núcleo)</t>
  </si>
  <si>
    <t>Cto.Jefe Negociado(A.núc.)</t>
  </si>
  <si>
    <t>Cto.Jefe Sección (A.núcl.)</t>
  </si>
  <si>
    <t>CUOTAS DE MUFACE/MUGEJU Y DERECHOS PASIVOS (ADMINISTRACIÓN DEL ESTADO)</t>
  </si>
  <si>
    <t>MUFACE/MUGEJU</t>
  </si>
  <si>
    <t>Derechos pasivos</t>
  </si>
  <si>
    <t>PREMIO DE ANTIGÜEDAD PERSONAL FUNCIONARIO, PERSONAL CON CONTRATO ADMINISTRATIVO Y PERSONAL EVENTUAL</t>
  </si>
  <si>
    <t>Número de quinquenios</t>
  </si>
  <si>
    <t>Porcentaje sobre sueldo inicial del nivel E</t>
  </si>
  <si>
    <t>Retribución mensual</t>
  </si>
  <si>
    <t>Retribución anual</t>
  </si>
  <si>
    <t>Nivel o grupo ►</t>
  </si>
  <si>
    <t>HORAS EXTRAORDINARIAS</t>
  </si>
  <si>
    <t>KILOMETRAJE</t>
  </si>
  <si>
    <t>Laborable</t>
  </si>
  <si>
    <t>Km.recorrido</t>
  </si>
  <si>
    <t>Festiva</t>
  </si>
  <si>
    <t>Laborable nieve-hielo</t>
  </si>
  <si>
    <t>Festiva nieve-hielo</t>
  </si>
  <si>
    <t>AYUDA FAMILIAR</t>
  </si>
  <si>
    <t>COMPLEMENTO DE DESTINO</t>
  </si>
  <si>
    <t>COMPENSACIÓN POR TRABAJO EN DÍA FESTIVO</t>
  </si>
  <si>
    <t>Cónyuge sin ingresos</t>
  </si>
  <si>
    <t>(SNS-O)</t>
  </si>
  <si>
    <t>Importe hora trabajada</t>
  </si>
  <si>
    <t>año</t>
  </si>
  <si>
    <t>mes</t>
  </si>
  <si>
    <t>ÍNDICE</t>
  </si>
  <si>
    <t>A partir día festivo nº 33</t>
  </si>
  <si>
    <t>COMPENSACIÓN POR TRABAJO EN HORARIO NOCTURNO (DE 22,00 A 8,00 HORAS)</t>
  </si>
  <si>
    <t>Hijo menor</t>
  </si>
  <si>
    <t>GUARDIAS PERSONAL SNS-O (IMPORTE HORA TRABAJADA, 12 HORAS/MÓDULO)</t>
  </si>
  <si>
    <t>Presencia física</t>
  </si>
  <si>
    <t>Hijo dismin.</t>
  </si>
  <si>
    <t>Localizadas</t>
  </si>
  <si>
    <t>Personal</t>
  </si>
  <si>
    <t>año ►</t>
  </si>
  <si>
    <t>1º</t>
  </si>
  <si>
    <t>2º</t>
  </si>
  <si>
    <t>3º</t>
  </si>
  <si>
    <t>4º</t>
  </si>
  <si>
    <t>5º</t>
  </si>
  <si>
    <t>Residente en formación</t>
  </si>
  <si>
    <t>COMPENSACIÓN POR FORMAR PARTE DE TRIBUNALES DE SELECCIÓN (AD.NÚCLEO Y SNS-O)</t>
  </si>
  <si>
    <t>TIPO DE PERSONAL</t>
  </si>
  <si>
    <t>Miembro del Tribunal</t>
  </si>
  <si>
    <t>Personal auxiliar</t>
  </si>
  <si>
    <t>A SELECCIONAR</t>
  </si>
  <si>
    <t>Presidente</t>
  </si>
  <si>
    <t>Secretario</t>
  </si>
  <si>
    <t>Vocal</t>
  </si>
  <si>
    <t>Hora labor.</t>
  </si>
  <si>
    <t>Hora festiva</t>
  </si>
  <si>
    <t>Fijo, oposic. y conc.-op.</t>
  </si>
  <si>
    <t>Temporal, op. y conc.-op.</t>
  </si>
  <si>
    <t>Temporal, INEM</t>
  </si>
  <si>
    <t>Concurso de méritos</t>
  </si>
  <si>
    <t xml:space="preserve">COMPENSACIÓN POR PARTICIPAR EN LAS </t>
  </si>
  <si>
    <t>PROFESIONAL ESPECIALISTA</t>
  </si>
  <si>
    <t>ACCIONES FORMATIVAS DEL INAP</t>
  </si>
  <si>
    <t>FORMACIÓN PROFESIONAL</t>
  </si>
  <si>
    <t>horario labo-</t>
  </si>
  <si>
    <t>titulación</t>
  </si>
  <si>
    <t>importe</t>
  </si>
  <si>
    <t>(Decreto Foral 260/1999-BON 104/1999)</t>
  </si>
  <si>
    <t>supuesto</t>
  </si>
  <si>
    <t>tipo hora</t>
  </si>
  <si>
    <t>ral ordinario</t>
  </si>
  <si>
    <t>universitaria</t>
  </si>
  <si>
    <t>día laboral</t>
  </si>
  <si>
    <t>día festivo</t>
  </si>
  <si>
    <t>Compensación por hora</t>
  </si>
  <si>
    <t>a)</t>
  </si>
  <si>
    <t>lectiva</t>
  </si>
  <si>
    <t>sí</t>
  </si>
  <si>
    <t>INDICADOR PÚBLICO DE RENTA</t>
  </si>
  <si>
    <t>b)</t>
  </si>
  <si>
    <t>no</t>
  </si>
  <si>
    <t>DE EFECTOS MÚLTIPLES</t>
  </si>
  <si>
    <t>c)</t>
  </si>
  <si>
    <t>con pagas extraordinarias</t>
  </si>
  <si>
    <t>d)</t>
  </si>
  <si>
    <t>Diario</t>
  </si>
  <si>
    <t>Mensual</t>
  </si>
  <si>
    <t>Anual</t>
  </si>
  <si>
    <t>e)</t>
  </si>
  <si>
    <t>prácticas</t>
  </si>
  <si>
    <t>--</t>
  </si>
  <si>
    <t>f)</t>
  </si>
  <si>
    <t>sin pagas extraordinarias</t>
  </si>
  <si>
    <t>COMPENSACIÓN POR IMPARTIR DOCENCIA (SNS-O)</t>
  </si>
  <si>
    <t>Acción formativa</t>
  </si>
  <si>
    <t>Dentro/fuera de la jornada</t>
  </si>
  <si>
    <t>Importe/hora</t>
  </si>
  <si>
    <t xml:space="preserve">Esporádica </t>
  </si>
  <si>
    <t>Dentro</t>
  </si>
  <si>
    <t>SALARIO MÍNIMO</t>
  </si>
  <si>
    <t>Fuera</t>
  </si>
  <si>
    <t>INTERPROFESIONAL</t>
  </si>
  <si>
    <t>Periódica</t>
  </si>
  <si>
    <t>DISPERSION/CAPITACION TIS</t>
  </si>
  <si>
    <t>SNS-OSASUNBIDEA</t>
  </si>
  <si>
    <t>BASES DE COTIZACIÓN</t>
  </si>
  <si>
    <t>CUOTA MENSUAL COTIZACIÓN</t>
  </si>
  <si>
    <t>(RÉGIMEN GRAL.SEG.SOCIAL Y LEY F. 10/2003)</t>
  </si>
  <si>
    <t>PERSONAL BECARIO</t>
  </si>
  <si>
    <t>Dispersión/Tis</t>
  </si>
  <si>
    <t>Grupo tarifa</t>
  </si>
  <si>
    <t>Niv.Pasiv.GN</t>
  </si>
  <si>
    <t>Bases mínimas</t>
  </si>
  <si>
    <t>Bases máximas</t>
  </si>
  <si>
    <t>c.comunes</t>
  </si>
  <si>
    <t>c.profes.</t>
  </si>
  <si>
    <r>
      <t>Dispersión Hora</t>
    </r>
    <r>
      <rPr>
        <sz val="11"/>
        <rFont val="Calibri"/>
        <family val="2"/>
        <scheme val="minor"/>
      </rPr>
      <t>Guardia</t>
    </r>
  </si>
  <si>
    <t>Empresa</t>
  </si>
  <si>
    <t>Capitación Médico</t>
  </si>
  <si>
    <t>Becario</t>
  </si>
  <si>
    <t>Capitación Pediatra</t>
  </si>
  <si>
    <t>Capitación ATS EAP</t>
  </si>
  <si>
    <t>CARRERA PROFESIONAL</t>
  </si>
  <si>
    <t>Pers. Facultativo Sanitario</t>
  </si>
  <si>
    <t>Pers. Diplomado Sanitario</t>
  </si>
  <si>
    <t>día</t>
  </si>
  <si>
    <t>II</t>
  </si>
  <si>
    <t>III</t>
  </si>
  <si>
    <t>IV</t>
  </si>
  <si>
    <t>V</t>
  </si>
  <si>
    <t xml:space="preserve">Jefe Guardia </t>
  </si>
  <si>
    <t>RETRIBUCIONES 2020</t>
  </si>
  <si>
    <t>LEY FORAL 5/2020, de 4 de marzo, de Presupuestos Generales de Navarra para el año 2020</t>
  </si>
  <si>
    <t>Artículo</t>
  </si>
  <si>
    <t>Año</t>
  </si>
  <si>
    <t>Mes</t>
  </si>
  <si>
    <t>PERSONAL DIRECTIVO DE LIBRE DESIGNACIÓN</t>
  </si>
  <si>
    <t>Direcciones de Servicio:</t>
  </si>
  <si>
    <t>8.1</t>
  </si>
  <si>
    <t>Direcciones de Servicio</t>
  </si>
  <si>
    <t>Personal directivo del SNS-O y del ISPLN:</t>
  </si>
  <si>
    <t>8.2.</t>
  </si>
  <si>
    <t>a) Jefaturas de Servicio no asistenciales</t>
  </si>
  <si>
    <t>b) Dirección del Banco de Sangre y Tejidos de Navarra</t>
  </si>
  <si>
    <t>RETRIBUCIONES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</si>
</sst>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" xfId="0" applyFont="1" applyBorder="1"/>
    <xf numFmtId="0" fontId="1" fillId="0" borderId="4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4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6" xfId="0" applyFont="1" applyFill="1" applyBorder="1"/>
    <xf numFmtId="0" fontId="0" fillId="0" borderId="7" xfId="0" applyFont="1" applyFill="1" applyBorder="1"/>
    <xf numFmtId="0" fontId="1" fillId="0" borderId="6" xfId="0" applyFont="1" applyFill="1" applyBorder="1"/>
    <xf numFmtId="0" fontId="0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8" xfId="0" applyFont="1" applyFill="1" applyBorder="1" applyAlignment="1"/>
    <xf numFmtId="0" fontId="1" fillId="0" borderId="6" xfId="0" applyFont="1" applyFill="1" applyBorder="1" applyAlignment="1"/>
    <xf numFmtId="0" fontId="1" fillId="0" borderId="1" xfId="0" applyFont="1" applyFill="1" applyBorder="1" applyAlignment="1"/>
    <xf numFmtId="3" fontId="1" fillId="0" borderId="1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9" xfId="0" applyNumberFormat="1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/>
    <xf numFmtId="3" fontId="1" fillId="0" borderId="6" xfId="0" applyNumberFormat="1" applyFont="1" applyFill="1" applyBorder="1" applyAlignment="1"/>
    <xf numFmtId="0" fontId="0" fillId="0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2" xfId="0" applyFont="1" applyFill="1" applyBorder="1"/>
    <xf numFmtId="0" fontId="1" fillId="0" borderId="13" xfId="0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0" fontId="1" fillId="0" borderId="12" xfId="0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7" xfId="0" applyFont="1" applyFill="1" applyBorder="1"/>
    <xf numFmtId="4" fontId="1" fillId="0" borderId="12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3" fontId="1" fillId="0" borderId="0" xfId="0" applyNumberFormat="1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 applyBorder="1"/>
    <xf numFmtId="3" fontId="1" fillId="2" borderId="1" xfId="0" applyNumberFormat="1" applyFont="1" applyFill="1" applyBorder="1"/>
    <xf numFmtId="0" fontId="1" fillId="2" borderId="13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workbookViewId="0"/>
  </sheetViews>
  <sheetFormatPr baseColWidth="10" defaultColWidth="11.42578125" defaultRowHeight="15" x14ac:dyDescent="0.25"/>
  <cols>
    <col min="1" max="3" width="11.42578125" style="1"/>
    <col min="4" max="4" width="12.28515625" style="1" customWidth="1"/>
    <col min="5" max="10" width="11.42578125" style="1"/>
    <col min="11" max="11" width="12.28515625" style="1" bestFit="1" customWidth="1"/>
    <col min="12" max="16384" width="11.42578125" style="1"/>
  </cols>
  <sheetData>
    <row r="1" spans="1:12" ht="14.45" customHeight="1" x14ac:dyDescent="0.25">
      <c r="B1" s="2"/>
      <c r="C1" s="2"/>
      <c r="D1" s="2"/>
      <c r="E1" s="87" t="s">
        <v>146</v>
      </c>
      <c r="F1" s="88"/>
      <c r="G1" s="2"/>
      <c r="H1" s="2"/>
      <c r="I1" s="2"/>
      <c r="J1" s="2"/>
      <c r="K1" s="2"/>
      <c r="L1" s="2"/>
    </row>
    <row r="2" spans="1:12" x14ac:dyDescent="0.25">
      <c r="A2" s="91" t="s">
        <v>147</v>
      </c>
      <c r="B2" s="92"/>
      <c r="C2" s="92"/>
      <c r="D2" s="92"/>
      <c r="E2" s="92"/>
      <c r="F2" s="92"/>
      <c r="G2" s="92"/>
      <c r="H2" s="92"/>
      <c r="I2" s="92"/>
      <c r="J2" s="2"/>
      <c r="K2" s="2"/>
      <c r="L2" s="2"/>
    </row>
    <row r="3" spans="1:12" x14ac:dyDescent="0.25">
      <c r="A3" s="3" t="s">
        <v>5</v>
      </c>
      <c r="B3" s="4">
        <v>2</v>
      </c>
      <c r="K3" s="5" t="s">
        <v>6</v>
      </c>
      <c r="L3" s="6">
        <v>1592</v>
      </c>
    </row>
    <row r="4" spans="1:12" s="9" customFormat="1" ht="14.45" x14ac:dyDescent="0.3">
      <c r="A4" s="7" t="s">
        <v>7</v>
      </c>
      <c r="B4" s="8"/>
      <c r="C4" s="89" t="s">
        <v>1</v>
      </c>
      <c r="D4" s="90"/>
      <c r="E4" s="89" t="s">
        <v>2</v>
      </c>
      <c r="F4" s="90"/>
      <c r="G4" s="89" t="s">
        <v>3</v>
      </c>
      <c r="H4" s="90"/>
      <c r="I4" s="89" t="s">
        <v>8</v>
      </c>
      <c r="J4" s="90"/>
      <c r="K4" s="89" t="s">
        <v>9</v>
      </c>
      <c r="L4" s="90"/>
    </row>
    <row r="5" spans="1:12" ht="14.45" x14ac:dyDescent="0.3">
      <c r="A5" s="10"/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14"/>
      <c r="C6" s="13" t="s">
        <v>10</v>
      </c>
      <c r="D6" s="13" t="s">
        <v>11</v>
      </c>
      <c r="E6" s="13" t="s">
        <v>10</v>
      </c>
      <c r="F6" s="13" t="s">
        <v>11</v>
      </c>
      <c r="G6" s="13" t="s">
        <v>10</v>
      </c>
      <c r="H6" s="13" t="s">
        <v>11</v>
      </c>
      <c r="I6" s="13" t="s">
        <v>10</v>
      </c>
      <c r="J6" s="13" t="s">
        <v>11</v>
      </c>
      <c r="K6" s="13" t="s">
        <v>10</v>
      </c>
      <c r="L6" s="13" t="s">
        <v>11</v>
      </c>
    </row>
    <row r="7" spans="1:12" ht="14.45" x14ac:dyDescent="0.3">
      <c r="A7" s="56" t="s">
        <v>12</v>
      </c>
      <c r="B7" s="56"/>
      <c r="C7" s="54">
        <f>D7*14</f>
        <v>27435.24</v>
      </c>
      <c r="D7" s="54">
        <f>ROUND(1921.24*1.02,2)</f>
        <v>1959.66</v>
      </c>
      <c r="E7" s="54">
        <f>F7*14</f>
        <v>23080.399999999998</v>
      </c>
      <c r="F7" s="54">
        <f>ROUND(1616.27*1.02,2)</f>
        <v>1648.6</v>
      </c>
      <c r="G7" s="54">
        <f t="shared" ref="G7:G12" si="0">H7*14</f>
        <v>19146.12</v>
      </c>
      <c r="H7" s="54">
        <f>ROUND(1340.76*1.02,2)</f>
        <v>1367.58</v>
      </c>
      <c r="I7" s="54">
        <f t="shared" ref="I7:I12" si="1">J7*14</f>
        <v>16674.7</v>
      </c>
      <c r="J7" s="54">
        <f>ROUND(1167.7*1.02,2)</f>
        <v>1191.05</v>
      </c>
      <c r="K7" s="54">
        <f>L7*14</f>
        <v>14667.240000000002</v>
      </c>
      <c r="L7" s="54">
        <f>ROUND(1027.12*1.02,2)</f>
        <v>1047.6600000000001</v>
      </c>
    </row>
    <row r="8" spans="1:12" s="6" customFormat="1" ht="14.45" x14ac:dyDescent="0.3">
      <c r="A8" s="56" t="s">
        <v>13</v>
      </c>
      <c r="B8" s="56"/>
      <c r="C8" s="54">
        <f>D8*14</f>
        <v>2469.1800000000003</v>
      </c>
      <c r="D8" s="54">
        <f>ROUND(D7*0.09,2)</f>
        <v>176.37</v>
      </c>
      <c r="E8" s="54">
        <f>F8*14</f>
        <v>2077.1800000000003</v>
      </c>
      <c r="F8" s="54">
        <f>ROUND(F7*0.09,2)</f>
        <v>148.37</v>
      </c>
      <c r="G8" s="54">
        <f t="shared" si="0"/>
        <v>1723.12</v>
      </c>
      <c r="H8" s="54">
        <f>ROUND(H7*0.09,2)</f>
        <v>123.08</v>
      </c>
      <c r="I8" s="54">
        <f t="shared" si="1"/>
        <v>1500.6599999999999</v>
      </c>
      <c r="J8" s="54">
        <f>ROUND(J7*0.09,2)</f>
        <v>107.19</v>
      </c>
      <c r="K8" s="54">
        <f>L8*14</f>
        <v>1320.0600000000002</v>
      </c>
      <c r="L8" s="54">
        <f>ROUND(L7*0.09,2)</f>
        <v>94.29</v>
      </c>
    </row>
    <row r="9" spans="1:12" s="6" customFormat="1" ht="14.45" x14ac:dyDescent="0.3">
      <c r="A9" s="56" t="s">
        <v>14</v>
      </c>
      <c r="B9" s="56"/>
      <c r="C9" s="54">
        <f>D9*14</f>
        <v>952.69999999999993</v>
      </c>
      <c r="D9" s="54">
        <f>ROUND(66.72*1.02,2)</f>
        <v>68.05</v>
      </c>
      <c r="E9" s="54">
        <f>F9*14</f>
        <v>801.36</v>
      </c>
      <c r="F9" s="54">
        <f>ROUND(56.12*1.02,2)</f>
        <v>57.24</v>
      </c>
      <c r="G9" s="54">
        <f t="shared" si="0"/>
        <v>665.14</v>
      </c>
      <c r="H9" s="54">
        <f>ROUND(46.58*1.02,2)</f>
        <v>47.51</v>
      </c>
      <c r="I9" s="54">
        <f t="shared" si="1"/>
        <v>579.32000000000005</v>
      </c>
      <c r="J9" s="54">
        <f>ROUND(40.57*1.02,2)</f>
        <v>41.38</v>
      </c>
      <c r="K9" s="54">
        <f>L9*14</f>
        <v>509.59999999999997</v>
      </c>
      <c r="L9" s="54">
        <f>ROUND(35.69*1.02,2)</f>
        <v>36.4</v>
      </c>
    </row>
    <row r="10" spans="1:12" s="6" customFormat="1" x14ac:dyDescent="0.25">
      <c r="A10" s="56" t="s">
        <v>15</v>
      </c>
      <c r="B10" s="56"/>
      <c r="C10" s="54"/>
      <c r="D10" s="54"/>
      <c r="E10" s="54"/>
      <c r="F10" s="54"/>
      <c r="G10" s="54">
        <f t="shared" si="0"/>
        <v>2297.54</v>
      </c>
      <c r="H10" s="54">
        <f>ROUND(H7*0.12,2)</f>
        <v>164.11</v>
      </c>
      <c r="I10" s="54">
        <f t="shared" si="1"/>
        <v>2001.02</v>
      </c>
      <c r="J10" s="54">
        <f>ROUND(J7*0.12,2)</f>
        <v>142.93</v>
      </c>
      <c r="K10" s="54">
        <f>L10*14</f>
        <v>2200.1</v>
      </c>
      <c r="L10" s="54">
        <f>ROUND(L7*0.15,2)</f>
        <v>157.15</v>
      </c>
    </row>
    <row r="11" spans="1:12" s="6" customFormat="1" ht="14.45" x14ac:dyDescent="0.3">
      <c r="A11" s="23" t="s">
        <v>16</v>
      </c>
      <c r="B11" s="50"/>
      <c r="C11" s="54">
        <f>D11*14</f>
        <v>1646.12</v>
      </c>
      <c r="D11" s="54">
        <f>ROUND(D7*0.06,2)</f>
        <v>117.58</v>
      </c>
      <c r="E11" s="54">
        <f>F11*14</f>
        <v>1384.88</v>
      </c>
      <c r="F11" s="54">
        <f>ROUND(F7*0.06,2)</f>
        <v>98.92</v>
      </c>
      <c r="G11" s="54">
        <f t="shared" si="0"/>
        <v>1148.7</v>
      </c>
      <c r="H11" s="54">
        <f>ROUND(H7*0.06,2)</f>
        <v>82.05</v>
      </c>
      <c r="I11" s="54">
        <f t="shared" si="1"/>
        <v>1000.4399999999999</v>
      </c>
      <c r="J11" s="54">
        <f>ROUND(J7*0.06,2)</f>
        <v>71.459999999999994</v>
      </c>
      <c r="K11" s="54">
        <f>L11*14</f>
        <v>880.04</v>
      </c>
      <c r="L11" s="54">
        <f>ROUND(L7*0.06,2)</f>
        <v>62.86</v>
      </c>
    </row>
    <row r="12" spans="1:12" s="6" customFormat="1" x14ac:dyDescent="0.25">
      <c r="A12" s="56" t="s">
        <v>17</v>
      </c>
      <c r="B12" s="56"/>
      <c r="C12" s="54">
        <f>D12*14</f>
        <v>15089.34</v>
      </c>
      <c r="D12" s="54">
        <f>ROUND(D7*0.55,2)</f>
        <v>1077.81</v>
      </c>
      <c r="E12" s="54">
        <f>F12*14</f>
        <v>12694.220000000001</v>
      </c>
      <c r="F12" s="54">
        <f>ROUND(F7*0.55,2)</f>
        <v>906.73</v>
      </c>
      <c r="G12" s="54">
        <f t="shared" si="0"/>
        <v>10530.38</v>
      </c>
      <c r="H12" s="54">
        <f>ROUND(H7*0.55,2)</f>
        <v>752.17</v>
      </c>
      <c r="I12" s="54">
        <f t="shared" si="1"/>
        <v>9171.1200000000008</v>
      </c>
      <c r="J12" s="54">
        <f>ROUND(J7*0.55,2)</f>
        <v>655.08000000000004</v>
      </c>
      <c r="K12" s="54"/>
      <c r="L12" s="54"/>
    </row>
    <row r="13" spans="1:12" s="6" customFormat="1" x14ac:dyDescent="0.25">
      <c r="A13" s="22" t="s">
        <v>18</v>
      </c>
      <c r="B13" s="22"/>
      <c r="C13" s="54">
        <f>D13*14</f>
        <v>9602.32</v>
      </c>
      <c r="D13" s="54">
        <f>ROUND(D7*0.35,2)</f>
        <v>685.88</v>
      </c>
      <c r="E13" s="54">
        <f>F13*14</f>
        <v>8078.1399999999994</v>
      </c>
      <c r="F13" s="54">
        <f>ROUND(F7*0.35,2)</f>
        <v>577.01</v>
      </c>
      <c r="G13" s="54"/>
      <c r="H13" s="54"/>
      <c r="I13" s="54"/>
      <c r="J13" s="54"/>
      <c r="K13" s="54"/>
      <c r="L13" s="54"/>
    </row>
    <row r="14" spans="1:12" x14ac:dyDescent="0.25">
      <c r="A14" s="66" t="s">
        <v>19</v>
      </c>
      <c r="B14" s="66"/>
      <c r="C14" s="67">
        <f>D14*14</f>
        <v>2743.58</v>
      </c>
      <c r="D14" s="67">
        <f>ROUND(D7*0.1,2)</f>
        <v>195.97</v>
      </c>
      <c r="E14" s="67">
        <f>F14*14</f>
        <v>2308.04</v>
      </c>
      <c r="F14" s="67">
        <f>ROUND(F7*0.1,2)</f>
        <v>164.86</v>
      </c>
      <c r="G14" s="67">
        <f>H14*14</f>
        <v>1914.6399999999999</v>
      </c>
      <c r="H14" s="67">
        <f>ROUND(H7*0.1,2)</f>
        <v>136.76</v>
      </c>
      <c r="I14" s="67">
        <f>J14*14</f>
        <v>1667.54</v>
      </c>
      <c r="J14" s="67">
        <f>ROUND(J7*0.1,2)</f>
        <v>119.11</v>
      </c>
      <c r="K14" s="67">
        <f>L14*14</f>
        <v>1466.78</v>
      </c>
      <c r="L14" s="67">
        <f>ROUND(L7*0.1,2)</f>
        <v>104.77</v>
      </c>
    </row>
    <row r="15" spans="1:12" x14ac:dyDescent="0.25">
      <c r="A15" s="66" t="s">
        <v>20</v>
      </c>
      <c r="B15" s="66"/>
      <c r="C15" s="67">
        <f>D15*14</f>
        <v>5487.02</v>
      </c>
      <c r="D15" s="67">
        <f>ROUND(D7*0.2,2)</f>
        <v>391.93</v>
      </c>
      <c r="E15" s="67">
        <f>F15*14</f>
        <v>4616.08</v>
      </c>
      <c r="F15" s="67">
        <f>ROUND(F7*0.2,2)</f>
        <v>329.72</v>
      </c>
      <c r="G15" s="67">
        <f>H15*14</f>
        <v>3829.2799999999997</v>
      </c>
      <c r="H15" s="67">
        <f>ROUND(H7*0.2,2)</f>
        <v>273.52</v>
      </c>
      <c r="I15" s="67">
        <f>J15*14</f>
        <v>3334.94</v>
      </c>
      <c r="J15" s="67">
        <f>ROUND(J7*0.2,2)</f>
        <v>238.21</v>
      </c>
      <c r="K15" s="67"/>
      <c r="L15" s="67"/>
    </row>
    <row r="16" spans="1:12" ht="14.45" customHeight="1" x14ac:dyDescent="0.25">
      <c r="A16" s="89" t="s">
        <v>21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0"/>
    </row>
    <row r="17" spans="1:12" ht="14.45" x14ac:dyDescent="0.3">
      <c r="A17" s="68" t="s">
        <v>22</v>
      </c>
      <c r="B17" s="69"/>
      <c r="C17" s="67">
        <f>D17*14</f>
        <v>685.86</v>
      </c>
      <c r="D17" s="67">
        <v>48.99</v>
      </c>
      <c r="E17" s="67">
        <f>F17*14</f>
        <v>539.84</v>
      </c>
      <c r="F17" s="67">
        <v>38.56</v>
      </c>
      <c r="G17" s="67">
        <f>H17*14</f>
        <v>414.53999999999996</v>
      </c>
      <c r="H17" s="67">
        <v>29.61</v>
      </c>
      <c r="I17" s="67">
        <f>J17*14</f>
        <v>328.02</v>
      </c>
      <c r="J17" s="67">
        <v>23.43</v>
      </c>
      <c r="K17" s="67">
        <f>L17*14</f>
        <v>279.72000000000003</v>
      </c>
      <c r="L17" s="67">
        <v>19.98</v>
      </c>
    </row>
    <row r="18" spans="1:12" ht="14.45" x14ac:dyDescent="0.3">
      <c r="A18" s="70" t="s">
        <v>23</v>
      </c>
      <c r="B18" s="70"/>
      <c r="C18" s="67">
        <f>D18*14</f>
        <v>1566.6000000000001</v>
      </c>
      <c r="D18" s="67">
        <v>111.9</v>
      </c>
      <c r="E18" s="67">
        <f>F18*14</f>
        <v>1232.98</v>
      </c>
      <c r="F18" s="67">
        <v>88.07</v>
      </c>
      <c r="G18" s="67">
        <f>H18*14</f>
        <v>946.96</v>
      </c>
      <c r="H18" s="67">
        <v>67.64</v>
      </c>
      <c r="I18" s="67">
        <f>J18*14</f>
        <v>749.14</v>
      </c>
      <c r="J18" s="67">
        <v>53.51</v>
      </c>
      <c r="K18" s="67">
        <f>L18*14</f>
        <v>638.67999999999995</v>
      </c>
      <c r="L18" s="67">
        <v>45.62</v>
      </c>
    </row>
    <row r="19" spans="1:12" ht="14.45" customHeight="1" x14ac:dyDescent="0.25">
      <c r="A19" s="94" t="s">
        <v>24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 x14ac:dyDescent="0.25">
      <c r="A20" s="22" t="s">
        <v>25</v>
      </c>
      <c r="B20" s="31"/>
      <c r="C20" s="29"/>
      <c r="D20" s="30"/>
      <c r="E20" s="25">
        <v>1</v>
      </c>
      <c r="F20" s="25">
        <v>2</v>
      </c>
      <c r="G20" s="25">
        <v>3</v>
      </c>
      <c r="H20" s="25">
        <v>4</v>
      </c>
      <c r="I20" s="25">
        <v>5</v>
      </c>
      <c r="J20" s="25">
        <v>6</v>
      </c>
      <c r="K20" s="25">
        <v>7</v>
      </c>
      <c r="L20" s="25">
        <v>8</v>
      </c>
    </row>
    <row r="21" spans="1:12" ht="14.45" x14ac:dyDescent="0.3">
      <c r="A21" s="27" t="s">
        <v>26</v>
      </c>
      <c r="B21" s="28"/>
      <c r="C21" s="29"/>
      <c r="D21" s="30"/>
      <c r="E21" s="25">
        <v>2</v>
      </c>
      <c r="F21" s="25">
        <v>4</v>
      </c>
      <c r="G21" s="25">
        <v>5.5</v>
      </c>
      <c r="H21" s="25">
        <v>7</v>
      </c>
      <c r="I21" s="25">
        <v>8</v>
      </c>
      <c r="J21" s="25">
        <v>9</v>
      </c>
      <c r="K21" s="25">
        <v>10</v>
      </c>
      <c r="L21" s="25">
        <v>11</v>
      </c>
    </row>
    <row r="22" spans="1:12" x14ac:dyDescent="0.25">
      <c r="A22" s="22" t="s">
        <v>27</v>
      </c>
      <c r="B22" s="31"/>
      <c r="C22" s="29"/>
      <c r="D22" s="30"/>
      <c r="E22" s="26">
        <f t="shared" ref="E22:L22" si="2">ROUND($L$7*E21/100,2)</f>
        <v>20.95</v>
      </c>
      <c r="F22" s="26">
        <f t="shared" si="2"/>
        <v>41.91</v>
      </c>
      <c r="G22" s="26">
        <f t="shared" si="2"/>
        <v>57.62</v>
      </c>
      <c r="H22" s="26">
        <f t="shared" si="2"/>
        <v>73.34</v>
      </c>
      <c r="I22" s="26">
        <f t="shared" si="2"/>
        <v>83.81</v>
      </c>
      <c r="J22" s="26">
        <f t="shared" si="2"/>
        <v>94.29</v>
      </c>
      <c r="K22" s="26">
        <f t="shared" si="2"/>
        <v>104.77</v>
      </c>
      <c r="L22" s="26">
        <f t="shared" si="2"/>
        <v>115.24</v>
      </c>
    </row>
    <row r="23" spans="1:12" x14ac:dyDescent="0.25">
      <c r="A23" s="22" t="s">
        <v>28</v>
      </c>
      <c r="B23" s="31"/>
      <c r="C23" s="29"/>
      <c r="D23" s="30"/>
      <c r="E23" s="26">
        <f t="shared" ref="E23:L23" si="3">E22*14</f>
        <v>293.3</v>
      </c>
      <c r="F23" s="26">
        <f t="shared" si="3"/>
        <v>586.74</v>
      </c>
      <c r="G23" s="26">
        <f t="shared" si="3"/>
        <v>806.68</v>
      </c>
      <c r="H23" s="26">
        <f t="shared" si="3"/>
        <v>1026.76</v>
      </c>
      <c r="I23" s="26">
        <f t="shared" si="3"/>
        <v>1173.3400000000001</v>
      </c>
      <c r="J23" s="26">
        <f t="shared" si="3"/>
        <v>1320.0600000000002</v>
      </c>
      <c r="K23" s="26">
        <f t="shared" si="3"/>
        <v>1466.78</v>
      </c>
      <c r="L23" s="26">
        <f t="shared" si="3"/>
        <v>1613.36</v>
      </c>
    </row>
    <row r="24" spans="1:12" x14ac:dyDescent="0.25">
      <c r="A24" s="18"/>
      <c r="B24" s="11" t="s">
        <v>29</v>
      </c>
      <c r="C24" s="19" t="s">
        <v>1</v>
      </c>
      <c r="D24" s="19" t="s">
        <v>2</v>
      </c>
      <c r="E24" s="20" t="s">
        <v>3</v>
      </c>
      <c r="F24" s="20" t="s">
        <v>8</v>
      </c>
      <c r="G24" s="20" t="s">
        <v>9</v>
      </c>
      <c r="J24" s="16"/>
      <c r="K24" s="15"/>
      <c r="L24" s="17"/>
    </row>
    <row r="25" spans="1:12" ht="14.45" customHeight="1" x14ac:dyDescent="0.3">
      <c r="A25" s="89" t="s">
        <v>30</v>
      </c>
      <c r="B25" s="93"/>
      <c r="C25" s="93"/>
      <c r="D25" s="93"/>
      <c r="E25" s="93"/>
      <c r="F25" s="93"/>
      <c r="G25" s="90"/>
      <c r="H25" s="95" t="s">
        <v>31</v>
      </c>
      <c r="I25" s="96"/>
      <c r="J25" s="16"/>
      <c r="K25" s="15"/>
      <c r="L25" s="17"/>
    </row>
    <row r="26" spans="1:12" s="9" customFormat="1" ht="14.45" x14ac:dyDescent="0.3">
      <c r="A26" s="34" t="s">
        <v>32</v>
      </c>
      <c r="B26" s="35"/>
      <c r="C26" s="26">
        <f>ROUND(21.13*1.02,2)</f>
        <v>21.55</v>
      </c>
      <c r="D26" s="26">
        <f>ROUND(17.76*1.02,2)</f>
        <v>18.12</v>
      </c>
      <c r="E26" s="26">
        <f>ROUND(14.74*1.02,2)</f>
        <v>15.03</v>
      </c>
      <c r="F26" s="26">
        <f>ROUND(12.84*1.02,2)</f>
        <v>13.1</v>
      </c>
      <c r="G26" s="26">
        <f>ROUND(11.29*1.02,2)</f>
        <v>11.52</v>
      </c>
      <c r="H26" s="85" t="s">
        <v>33</v>
      </c>
      <c r="I26" s="86"/>
      <c r="J26" s="16"/>
      <c r="K26" s="15"/>
      <c r="L26" s="17"/>
    </row>
    <row r="27" spans="1:12" ht="14.45" x14ac:dyDescent="0.3">
      <c r="A27" s="34" t="s">
        <v>34</v>
      </c>
      <c r="B27" s="35"/>
      <c r="C27" s="26">
        <f>ROUND(C26*1.25,2)</f>
        <v>26.94</v>
      </c>
      <c r="D27" s="26">
        <f>ROUND(D26*1.25,2)</f>
        <v>22.65</v>
      </c>
      <c r="E27" s="26">
        <f>ROUND(E26*1.25,2)</f>
        <v>18.79</v>
      </c>
      <c r="F27" s="26">
        <f>ROUND(F26*1.25,2)</f>
        <v>16.38</v>
      </c>
      <c r="G27" s="26">
        <f>ROUND(G26*1.25,2)</f>
        <v>14.4</v>
      </c>
      <c r="H27" s="97">
        <f>ROUND(0.32*1.02,2)</f>
        <v>0.33</v>
      </c>
      <c r="I27" s="98"/>
      <c r="J27" s="16"/>
      <c r="K27" s="15"/>
      <c r="L27" s="17"/>
    </row>
    <row r="28" spans="1:12" s="6" customFormat="1" x14ac:dyDescent="0.25">
      <c r="A28" s="36" t="s">
        <v>35</v>
      </c>
      <c r="B28" s="36"/>
      <c r="C28" s="26">
        <f>ROUND(C26*1.45,2)</f>
        <v>31.25</v>
      </c>
      <c r="D28" s="26">
        <f>ROUND(D26*1.45,2)</f>
        <v>26.27</v>
      </c>
      <c r="E28" s="26">
        <f>ROUND(E26*1.45,2)</f>
        <v>21.79</v>
      </c>
      <c r="F28" s="26">
        <f>ROUND(F26*1.45,2)</f>
        <v>19</v>
      </c>
      <c r="G28" s="26">
        <f>ROUND(G26*1.45,2)</f>
        <v>16.7</v>
      </c>
      <c r="H28" s="65"/>
      <c r="I28" s="65"/>
      <c r="J28" s="16"/>
      <c r="K28" s="15"/>
      <c r="L28" s="17"/>
    </row>
    <row r="29" spans="1:12" s="21" customFormat="1" ht="14.45" customHeight="1" x14ac:dyDescent="0.25">
      <c r="A29" s="36" t="s">
        <v>36</v>
      </c>
      <c r="B29" s="36"/>
      <c r="C29" s="26">
        <f>ROUND(C28*1.25,2)</f>
        <v>39.06</v>
      </c>
      <c r="D29" s="26">
        <f>ROUND(D28*1.25,2)</f>
        <v>32.840000000000003</v>
      </c>
      <c r="E29" s="26">
        <f>ROUND(E28*1.25,2)</f>
        <v>27.24</v>
      </c>
      <c r="F29" s="26">
        <f>ROUND(F28*1.25,2)</f>
        <v>23.75</v>
      </c>
      <c r="G29" s="26">
        <f>ROUND(G28*1.25,2)</f>
        <v>20.88</v>
      </c>
      <c r="H29" s="95" t="s">
        <v>37</v>
      </c>
      <c r="I29" s="96"/>
      <c r="J29" s="99" t="s">
        <v>38</v>
      </c>
      <c r="K29" s="100"/>
      <c r="L29" s="101"/>
    </row>
    <row r="30" spans="1:12" ht="14.45" customHeight="1" x14ac:dyDescent="0.25">
      <c r="A30" s="89" t="s">
        <v>39</v>
      </c>
      <c r="B30" s="93"/>
      <c r="C30" s="93"/>
      <c r="D30" s="93"/>
      <c r="E30" s="93"/>
      <c r="F30" s="93"/>
      <c r="G30" s="90"/>
      <c r="H30" s="102" t="s">
        <v>40</v>
      </c>
      <c r="I30" s="103"/>
      <c r="J30" s="104" t="s">
        <v>41</v>
      </c>
      <c r="K30" s="105"/>
      <c r="L30" s="106"/>
    </row>
    <row r="31" spans="1:12" x14ac:dyDescent="0.25">
      <c r="A31" s="37" t="s">
        <v>42</v>
      </c>
      <c r="B31" s="38"/>
      <c r="C31" s="26">
        <f>ROUND(8.85*1.02,2)</f>
        <v>9.0299999999999994</v>
      </c>
      <c r="D31" s="26">
        <f>ROUND(8.85*1.02,2)</f>
        <v>9.0299999999999994</v>
      </c>
      <c r="E31" s="26">
        <f>ROUND(8.3*1.02,2)</f>
        <v>8.4700000000000006</v>
      </c>
      <c r="F31" s="26">
        <f>ROUND(7.7*1.02,2)</f>
        <v>7.85</v>
      </c>
      <c r="G31" s="26">
        <f>ROUND(7.7*1.02,2)</f>
        <v>7.85</v>
      </c>
      <c r="H31" s="33" t="s">
        <v>43</v>
      </c>
      <c r="I31" s="25" t="s">
        <v>44</v>
      </c>
      <c r="J31" s="25" t="s">
        <v>45</v>
      </c>
      <c r="K31" s="25" t="s">
        <v>10</v>
      </c>
      <c r="L31" s="25" t="s">
        <v>11</v>
      </c>
    </row>
    <row r="32" spans="1:12" x14ac:dyDescent="0.25">
      <c r="A32" s="37" t="s">
        <v>46</v>
      </c>
      <c r="B32" s="37"/>
      <c r="C32" s="26">
        <f>ROUND(C31*1.5,2)</f>
        <v>13.55</v>
      </c>
      <c r="D32" s="26">
        <f>ROUND(D31*1.5,2)</f>
        <v>13.55</v>
      </c>
      <c r="E32" s="26">
        <f>ROUND(E31*1.5,2)</f>
        <v>12.71</v>
      </c>
      <c r="F32" s="26">
        <f>ROUND(F31*1.5,2)</f>
        <v>11.78</v>
      </c>
      <c r="G32" s="26">
        <f>ROUND(G31*1.5,2)</f>
        <v>11.78</v>
      </c>
      <c r="H32" s="26">
        <f>I32*14</f>
        <v>513.38</v>
      </c>
      <c r="I32" s="26">
        <f>ROUND(L7*0.035,2)</f>
        <v>36.67</v>
      </c>
      <c r="J32" s="25">
        <v>1</v>
      </c>
      <c r="K32" s="26">
        <f t="shared" ref="K32:K61" si="4">L32*14</f>
        <v>471.09999999999997</v>
      </c>
      <c r="L32" s="26">
        <f>ROUND(32.99*1.02,2)</f>
        <v>33.65</v>
      </c>
    </row>
    <row r="33" spans="1:12" ht="14.45" customHeight="1" x14ac:dyDescent="0.25">
      <c r="A33" s="89" t="s">
        <v>47</v>
      </c>
      <c r="B33" s="93"/>
      <c r="C33" s="93"/>
      <c r="D33" s="93"/>
      <c r="E33" s="93"/>
      <c r="F33" s="93"/>
      <c r="G33" s="90"/>
      <c r="H33" s="102" t="s">
        <v>48</v>
      </c>
      <c r="I33" s="103"/>
      <c r="J33" s="25">
        <f t="shared" ref="J33:J61" si="5">J32+1</f>
        <v>2</v>
      </c>
      <c r="K33" s="26">
        <f t="shared" si="4"/>
        <v>1070.1599999999999</v>
      </c>
      <c r="L33" s="26">
        <f>ROUND(74.94*1.02,2)</f>
        <v>76.44</v>
      </c>
    </row>
    <row r="34" spans="1:12" s="9" customFormat="1" x14ac:dyDescent="0.25">
      <c r="A34" s="39" t="s">
        <v>42</v>
      </c>
      <c r="B34" s="39"/>
      <c r="C34" s="61">
        <f>D34</f>
        <v>3.93</v>
      </c>
      <c r="D34" s="26">
        <f>ROUND(3.85*1.02,2)</f>
        <v>3.93</v>
      </c>
      <c r="E34" s="26">
        <f>ROUND(3.31*1.02,2)</f>
        <v>3.38</v>
      </c>
      <c r="F34" s="26">
        <f>G34</f>
        <v>3.07</v>
      </c>
      <c r="G34" s="26">
        <f>ROUND(3.01*1.02,2)</f>
        <v>3.07</v>
      </c>
      <c r="H34" s="33" t="s">
        <v>43</v>
      </c>
      <c r="I34" s="25" t="s">
        <v>44</v>
      </c>
      <c r="J34" s="25">
        <f t="shared" si="5"/>
        <v>3</v>
      </c>
      <c r="K34" s="26">
        <f t="shared" si="4"/>
        <v>1606.5</v>
      </c>
      <c r="L34" s="26">
        <f>ROUND(112.5*1.02,2)</f>
        <v>114.75</v>
      </c>
    </row>
    <row r="35" spans="1:12" ht="14.45" customHeight="1" x14ac:dyDescent="0.25">
      <c r="A35" s="89" t="s">
        <v>49</v>
      </c>
      <c r="B35" s="93"/>
      <c r="C35" s="93"/>
      <c r="D35" s="93"/>
      <c r="E35" s="93"/>
      <c r="F35" s="93"/>
      <c r="G35" s="90"/>
      <c r="H35" s="26">
        <f>I35*14</f>
        <v>440.02</v>
      </c>
      <c r="I35" s="26">
        <f>ROUND(L7*0.03,2)</f>
        <v>31.43</v>
      </c>
      <c r="J35" s="25">
        <f t="shared" si="5"/>
        <v>4</v>
      </c>
      <c r="K35" s="26">
        <f t="shared" si="4"/>
        <v>1885.94</v>
      </c>
      <c r="L35" s="26">
        <f>ROUND(132.07*1.02,2)</f>
        <v>134.71</v>
      </c>
    </row>
    <row r="36" spans="1:12" s="6" customFormat="1" x14ac:dyDescent="0.25">
      <c r="A36" s="39" t="s">
        <v>50</v>
      </c>
      <c r="B36" s="39"/>
      <c r="C36" s="26">
        <f>ROUND(25.85*1.02,2)</f>
        <v>26.37</v>
      </c>
      <c r="D36" s="26">
        <f>ROUND(15.52*1.02,2)</f>
        <v>15.83</v>
      </c>
      <c r="E36" s="26">
        <f>ROUND(12.4*1.02,2)</f>
        <v>12.65</v>
      </c>
      <c r="F36" s="26">
        <f>G36</f>
        <v>10.1</v>
      </c>
      <c r="G36" s="26">
        <f>ROUND(9.9*1.02,2)</f>
        <v>10.1</v>
      </c>
      <c r="H36" s="102" t="s">
        <v>51</v>
      </c>
      <c r="I36" s="103"/>
      <c r="J36" s="25">
        <f t="shared" si="5"/>
        <v>5</v>
      </c>
      <c r="K36" s="26">
        <f t="shared" si="4"/>
        <v>2357.04</v>
      </c>
      <c r="L36" s="26">
        <f>ROUND(165.06*1.02,2)</f>
        <v>168.36</v>
      </c>
    </row>
    <row r="37" spans="1:12" s="6" customFormat="1" x14ac:dyDescent="0.25">
      <c r="A37" s="40" t="s">
        <v>52</v>
      </c>
      <c r="B37" s="41"/>
      <c r="C37" s="26">
        <f>ROUND(12.93*1.02,2)</f>
        <v>13.19</v>
      </c>
      <c r="D37" s="26">
        <f>ROUND(7.75*1.02,2)</f>
        <v>7.91</v>
      </c>
      <c r="E37" s="26">
        <f>ROUND(6.19*1.02,2)</f>
        <v>6.31</v>
      </c>
      <c r="F37" s="26">
        <f>G37</f>
        <v>5.0599999999999996</v>
      </c>
      <c r="G37" s="26">
        <f>ROUND(4.96*1.02,2)</f>
        <v>5.0599999999999996</v>
      </c>
      <c r="H37" s="58" t="s">
        <v>43</v>
      </c>
      <c r="I37" s="25" t="s">
        <v>44</v>
      </c>
      <c r="J37" s="25">
        <f t="shared" si="5"/>
        <v>6</v>
      </c>
      <c r="K37" s="26">
        <f t="shared" si="4"/>
        <v>2828.56</v>
      </c>
      <c r="L37" s="26">
        <f>ROUND(198.08*1.02,2)</f>
        <v>202.04</v>
      </c>
    </row>
    <row r="38" spans="1:12" s="6" customFormat="1" x14ac:dyDescent="0.25">
      <c r="A38" s="40" t="s">
        <v>145</v>
      </c>
      <c r="B38" s="42"/>
      <c r="C38" s="26">
        <f>C37</f>
        <v>13.19</v>
      </c>
      <c r="D38" s="26"/>
      <c r="E38" s="26"/>
      <c r="F38" s="26"/>
      <c r="G38" s="26"/>
      <c r="H38" s="24">
        <f>I38*14</f>
        <v>2200.1</v>
      </c>
      <c r="I38" s="26">
        <f>ROUND(L7*0.15,2)</f>
        <v>157.15</v>
      </c>
      <c r="J38" s="25">
        <f t="shared" si="5"/>
        <v>7</v>
      </c>
      <c r="K38" s="26">
        <f t="shared" si="4"/>
        <v>3456.74</v>
      </c>
      <c r="L38" s="26">
        <f>ROUND(242.07*1.02,2)</f>
        <v>246.91</v>
      </c>
    </row>
    <row r="39" spans="1:12" s="21" customFormat="1" x14ac:dyDescent="0.25">
      <c r="A39" s="43" t="s">
        <v>53</v>
      </c>
      <c r="B39" s="44" t="s">
        <v>54</v>
      </c>
      <c r="C39" s="62" t="s">
        <v>55</v>
      </c>
      <c r="D39" s="63" t="s">
        <v>56</v>
      </c>
      <c r="E39" s="62" t="s">
        <v>57</v>
      </c>
      <c r="F39" s="62" t="s">
        <v>58</v>
      </c>
      <c r="G39" s="62" t="s">
        <v>59</v>
      </c>
      <c r="H39" s="1"/>
      <c r="I39" s="1"/>
      <c r="J39" s="25">
        <f t="shared" si="5"/>
        <v>8</v>
      </c>
      <c r="K39" s="26">
        <f t="shared" si="4"/>
        <v>3771.46</v>
      </c>
      <c r="L39" s="26">
        <f>ROUND(264.11*1.02,2)</f>
        <v>269.39</v>
      </c>
    </row>
    <row r="40" spans="1:12" x14ac:dyDescent="0.25">
      <c r="A40" s="45" t="s">
        <v>60</v>
      </c>
      <c r="B40" s="46"/>
      <c r="C40" s="26">
        <f>ROUND(15.52*1.02,2)</f>
        <v>15.83</v>
      </c>
      <c r="D40" s="26">
        <f>ROUND(18.09*1.02,2)</f>
        <v>18.45</v>
      </c>
      <c r="E40" s="26">
        <f>ROUND(20.68*1.02,2)</f>
        <v>21.09</v>
      </c>
      <c r="F40" s="26">
        <f>G40</f>
        <v>23.22</v>
      </c>
      <c r="G40" s="26">
        <f>ROUND(22.76*1.02,2)</f>
        <v>23.22</v>
      </c>
      <c r="J40" s="25">
        <f t="shared" si="5"/>
        <v>9</v>
      </c>
      <c r="K40" s="26">
        <f t="shared" si="4"/>
        <v>4242.7</v>
      </c>
      <c r="L40" s="26">
        <f>ROUND(297.11*1.02,2)</f>
        <v>303.05</v>
      </c>
    </row>
    <row r="41" spans="1:12" s="6" customFormat="1" ht="14.45" customHeight="1" x14ac:dyDescent="0.25">
      <c r="A41" s="89" t="s">
        <v>61</v>
      </c>
      <c r="B41" s="93"/>
      <c r="C41" s="93"/>
      <c r="D41" s="93"/>
      <c r="E41" s="93"/>
      <c r="F41" s="93"/>
      <c r="G41" s="93"/>
      <c r="H41" s="93"/>
      <c r="I41" s="90"/>
      <c r="J41" s="25">
        <f t="shared" si="5"/>
        <v>10</v>
      </c>
      <c r="K41" s="26">
        <f t="shared" si="4"/>
        <v>4608.9399999999996</v>
      </c>
      <c r="L41" s="26">
        <f>ROUND(322.75*1.02,2)</f>
        <v>329.21</v>
      </c>
    </row>
    <row r="42" spans="1:12" s="21" customFormat="1" ht="14.45" customHeight="1" x14ac:dyDescent="0.25">
      <c r="A42" s="118" t="s">
        <v>62</v>
      </c>
      <c r="B42" s="119"/>
      <c r="C42" s="51"/>
      <c r="D42" s="51"/>
      <c r="E42" s="51"/>
      <c r="F42" s="110" t="s">
        <v>63</v>
      </c>
      <c r="G42" s="111"/>
      <c r="H42" s="110" t="s">
        <v>64</v>
      </c>
      <c r="I42" s="111"/>
      <c r="J42" s="25">
        <f t="shared" si="5"/>
        <v>11</v>
      </c>
      <c r="K42" s="26">
        <f t="shared" si="4"/>
        <v>5212.34</v>
      </c>
      <c r="L42" s="26">
        <f>ROUND(365.01*1.02,2)</f>
        <v>372.31</v>
      </c>
    </row>
    <row r="43" spans="1:12" x14ac:dyDescent="0.25">
      <c r="A43" s="120" t="s">
        <v>65</v>
      </c>
      <c r="B43" s="121"/>
      <c r="C43" s="52" t="s">
        <v>66</v>
      </c>
      <c r="D43" s="52" t="s">
        <v>67</v>
      </c>
      <c r="E43" s="52" t="s">
        <v>68</v>
      </c>
      <c r="F43" s="25" t="s">
        <v>69</v>
      </c>
      <c r="G43" s="25" t="s">
        <v>70</v>
      </c>
      <c r="H43" s="25" t="s">
        <v>69</v>
      </c>
      <c r="I43" s="25" t="s">
        <v>70</v>
      </c>
      <c r="J43" s="25">
        <f t="shared" si="5"/>
        <v>12</v>
      </c>
      <c r="K43" s="26">
        <f t="shared" si="4"/>
        <v>5761.56</v>
      </c>
      <c r="L43" s="26">
        <f>ROUND(403.47*1.02,2)</f>
        <v>411.54</v>
      </c>
    </row>
    <row r="44" spans="1:12" s="6" customFormat="1" x14ac:dyDescent="0.25">
      <c r="A44" s="27" t="s">
        <v>71</v>
      </c>
      <c r="B44" s="27"/>
      <c r="C44" s="26">
        <f>ROUND(63.04*1.02,2)</f>
        <v>64.3</v>
      </c>
      <c r="D44" s="26">
        <f>ROUND(73.49*1.02,2)</f>
        <v>74.959999999999994</v>
      </c>
      <c r="E44" s="26">
        <f>ROUND(63.04*1.02,2)</f>
        <v>64.3</v>
      </c>
      <c r="F44" s="26">
        <f>ROUND(26.28*1.02,2)</f>
        <v>26.81</v>
      </c>
      <c r="G44" s="26">
        <f>ROUND(39.4*1.02,2)</f>
        <v>40.19</v>
      </c>
      <c r="H44" s="26">
        <f>ROUND(21.02*1.02,2)</f>
        <v>21.44</v>
      </c>
      <c r="I44" s="26">
        <f>ROUND(31.51*1.02,2)</f>
        <v>32.14</v>
      </c>
      <c r="J44" s="25">
        <f t="shared" si="5"/>
        <v>13</v>
      </c>
      <c r="K44" s="26">
        <f t="shared" si="4"/>
        <v>6337.66</v>
      </c>
      <c r="L44" s="26">
        <f>ROUND(443.81*1.02,2)</f>
        <v>452.69</v>
      </c>
    </row>
    <row r="45" spans="1:12" s="6" customFormat="1" x14ac:dyDescent="0.25">
      <c r="A45" s="27" t="s">
        <v>72</v>
      </c>
      <c r="B45" s="27"/>
      <c r="C45" s="26">
        <f>ROUND(42*1.02,2)</f>
        <v>42.84</v>
      </c>
      <c r="D45" s="26">
        <f>ROUND(52.52*1.02,2)</f>
        <v>53.57</v>
      </c>
      <c r="E45" s="26">
        <f>ROUND(42*1.02,2)</f>
        <v>42.84</v>
      </c>
      <c r="F45" s="26">
        <f>F44</f>
        <v>26.81</v>
      </c>
      <c r="G45" s="26">
        <f>G44</f>
        <v>40.19</v>
      </c>
      <c r="H45" s="26">
        <f>H44</f>
        <v>21.44</v>
      </c>
      <c r="I45" s="26">
        <f>I44</f>
        <v>32.14</v>
      </c>
      <c r="J45" s="25">
        <f t="shared" si="5"/>
        <v>14</v>
      </c>
      <c r="K45" s="26">
        <f t="shared" si="4"/>
        <v>6913.7599999999993</v>
      </c>
      <c r="L45" s="26">
        <f>ROUND(484.16*1.02,2)</f>
        <v>493.84</v>
      </c>
    </row>
    <row r="46" spans="1:12" s="6" customFormat="1" x14ac:dyDescent="0.25">
      <c r="A46" s="27" t="s">
        <v>73</v>
      </c>
      <c r="B46" s="27"/>
      <c r="C46" s="26">
        <f>ROUND(31.52*1.02,2)</f>
        <v>32.15</v>
      </c>
      <c r="D46" s="26">
        <f>ROUND(42*1.02,2)</f>
        <v>42.84</v>
      </c>
      <c r="E46" s="26">
        <f>ROUND(31.52*1.02,2)</f>
        <v>32.15</v>
      </c>
      <c r="F46" s="26">
        <f>F44</f>
        <v>26.81</v>
      </c>
      <c r="G46" s="26">
        <f>G44</f>
        <v>40.19</v>
      </c>
      <c r="H46" s="26">
        <f>H44</f>
        <v>21.44</v>
      </c>
      <c r="I46" s="26">
        <f>I45</f>
        <v>32.14</v>
      </c>
      <c r="J46" s="25">
        <f t="shared" si="5"/>
        <v>15</v>
      </c>
      <c r="K46" s="26">
        <f t="shared" si="4"/>
        <v>7489.58</v>
      </c>
      <c r="L46" s="26">
        <f>ROUND(524.48*1.02,2)</f>
        <v>534.97</v>
      </c>
    </row>
    <row r="47" spans="1:12" s="21" customFormat="1" x14ac:dyDescent="0.25">
      <c r="A47" s="57" t="s">
        <v>74</v>
      </c>
      <c r="B47" s="57"/>
      <c r="C47" s="26">
        <f>ROUND(21.02*1.02,2)</f>
        <v>21.44</v>
      </c>
      <c r="D47" s="26">
        <f>ROUND(31.52*1.02,2)</f>
        <v>32.15</v>
      </c>
      <c r="E47" s="26">
        <f>ROUND(21.02*1.02,2)</f>
        <v>21.44</v>
      </c>
      <c r="F47" s="26">
        <f>F44</f>
        <v>26.81</v>
      </c>
      <c r="G47" s="26">
        <f>G44</f>
        <v>40.19</v>
      </c>
      <c r="H47" s="26">
        <f>H44</f>
        <v>21.44</v>
      </c>
      <c r="I47" s="26">
        <f>I46</f>
        <v>32.14</v>
      </c>
      <c r="J47" s="25">
        <f t="shared" si="5"/>
        <v>16</v>
      </c>
      <c r="K47" s="26">
        <f t="shared" si="4"/>
        <v>8066.24</v>
      </c>
      <c r="L47" s="26">
        <f>ROUND(564.86*1.02,2)</f>
        <v>576.16</v>
      </c>
    </row>
    <row r="48" spans="1:12" s="6" customFormat="1" x14ac:dyDescent="0.25">
      <c r="A48" s="107" t="s">
        <v>75</v>
      </c>
      <c r="B48" s="108"/>
      <c r="C48" s="108"/>
      <c r="D48" s="108"/>
      <c r="E48" s="108"/>
      <c r="F48" s="109"/>
      <c r="G48" s="107" t="s">
        <v>76</v>
      </c>
      <c r="H48" s="108"/>
      <c r="I48" s="109"/>
      <c r="J48" s="25">
        <f t="shared" si="5"/>
        <v>17</v>
      </c>
      <c r="K48" s="26">
        <f t="shared" si="4"/>
        <v>8642.4800000000014</v>
      </c>
      <c r="L48" s="26">
        <f>ROUND(605.22*1.02,2)</f>
        <v>617.32000000000005</v>
      </c>
    </row>
    <row r="49" spans="1:12" x14ac:dyDescent="0.25">
      <c r="A49" s="112" t="s">
        <v>77</v>
      </c>
      <c r="B49" s="113"/>
      <c r="C49" s="113"/>
      <c r="D49" s="113"/>
      <c r="E49" s="113"/>
      <c r="F49" s="114"/>
      <c r="G49" s="115" t="s">
        <v>78</v>
      </c>
      <c r="H49" s="116"/>
      <c r="I49" s="117"/>
      <c r="J49" s="25">
        <f t="shared" si="5"/>
        <v>18</v>
      </c>
      <c r="K49" s="26">
        <f t="shared" si="4"/>
        <v>9218.44</v>
      </c>
      <c r="L49" s="26">
        <f>ROUND(645.55*1.02,2)</f>
        <v>658.46</v>
      </c>
    </row>
    <row r="50" spans="1:12" x14ac:dyDescent="0.25">
      <c r="A50" s="47"/>
      <c r="B50" s="47"/>
      <c r="C50" s="47" t="s">
        <v>79</v>
      </c>
      <c r="D50" s="47" t="s">
        <v>80</v>
      </c>
      <c r="E50" s="47" t="s">
        <v>81</v>
      </c>
      <c r="F50" s="47" t="s">
        <v>81</v>
      </c>
      <c r="G50" s="112" t="s">
        <v>82</v>
      </c>
      <c r="H50" s="113"/>
      <c r="I50" s="114"/>
      <c r="J50" s="25">
        <f t="shared" si="5"/>
        <v>19</v>
      </c>
      <c r="K50" s="26">
        <f t="shared" si="4"/>
        <v>9795.1</v>
      </c>
      <c r="L50" s="26">
        <f>ROUND(685.93*1.02,2)</f>
        <v>699.65</v>
      </c>
    </row>
    <row r="51" spans="1:12" s="2" customFormat="1" x14ac:dyDescent="0.25">
      <c r="A51" s="48" t="s">
        <v>83</v>
      </c>
      <c r="B51" s="48" t="s">
        <v>84</v>
      </c>
      <c r="C51" s="48" t="s">
        <v>85</v>
      </c>
      <c r="D51" s="48" t="s">
        <v>86</v>
      </c>
      <c r="E51" s="48" t="s">
        <v>87</v>
      </c>
      <c r="F51" s="48" t="s">
        <v>88</v>
      </c>
      <c r="G51" s="59" t="s">
        <v>89</v>
      </c>
      <c r="H51" s="60"/>
      <c r="I51" s="26">
        <f>ROUND(41.06*1.02,2)</f>
        <v>41.88</v>
      </c>
      <c r="J51" s="25">
        <f t="shared" si="5"/>
        <v>20</v>
      </c>
      <c r="K51" s="26">
        <f t="shared" si="4"/>
        <v>11174.519999999999</v>
      </c>
      <c r="L51" s="26">
        <f>ROUND(782.53*1.02,2)</f>
        <v>798.18</v>
      </c>
    </row>
    <row r="52" spans="1:12" x14ac:dyDescent="0.25">
      <c r="A52" s="32" t="s">
        <v>90</v>
      </c>
      <c r="B52" s="32" t="s">
        <v>91</v>
      </c>
      <c r="C52" s="32" t="s">
        <v>92</v>
      </c>
      <c r="D52" s="32" t="s">
        <v>92</v>
      </c>
      <c r="E52" s="26">
        <f>ROUND(31.52*1.02,2)</f>
        <v>32.15</v>
      </c>
      <c r="F52" s="26">
        <f>ROUND(47.26*1.02,2)</f>
        <v>48.21</v>
      </c>
      <c r="G52" s="107" t="s">
        <v>93</v>
      </c>
      <c r="H52" s="108"/>
      <c r="I52" s="109"/>
      <c r="J52" s="25">
        <f t="shared" si="5"/>
        <v>21</v>
      </c>
      <c r="K52" s="26">
        <f t="shared" si="4"/>
        <v>12571.019999999999</v>
      </c>
      <c r="L52" s="26">
        <f>ROUND(880.32*1.02,2)</f>
        <v>897.93</v>
      </c>
    </row>
    <row r="53" spans="1:12" x14ac:dyDescent="0.25">
      <c r="A53" s="32" t="s">
        <v>94</v>
      </c>
      <c r="B53" s="32" t="s">
        <v>91</v>
      </c>
      <c r="C53" s="32" t="s">
        <v>95</v>
      </c>
      <c r="D53" s="32" t="s">
        <v>92</v>
      </c>
      <c r="E53" s="26">
        <f>ROUND(68.31*1.02,2)</f>
        <v>69.680000000000007</v>
      </c>
      <c r="F53" s="26">
        <f>ROUND(102.44*1.02,2)</f>
        <v>104.49</v>
      </c>
      <c r="G53" s="112" t="s">
        <v>96</v>
      </c>
      <c r="H53" s="113"/>
      <c r="I53" s="114"/>
      <c r="J53" s="25">
        <f t="shared" si="5"/>
        <v>22</v>
      </c>
      <c r="K53" s="26">
        <f t="shared" si="4"/>
        <v>13967.519999999999</v>
      </c>
      <c r="L53" s="26">
        <f>ROUND(978.12*1.02,2)</f>
        <v>997.68</v>
      </c>
    </row>
    <row r="54" spans="1:12" x14ac:dyDescent="0.25">
      <c r="A54" s="32" t="s">
        <v>97</v>
      </c>
      <c r="B54" s="32" t="s">
        <v>91</v>
      </c>
      <c r="C54" s="32" t="s">
        <v>92</v>
      </c>
      <c r="D54" s="32" t="s">
        <v>95</v>
      </c>
      <c r="E54" s="26">
        <f>ROUND(24.25*1.02,2)</f>
        <v>24.74</v>
      </c>
      <c r="F54" s="26">
        <f>ROUND(36.36*1.02,2)</f>
        <v>37.090000000000003</v>
      </c>
      <c r="G54" s="122" t="s">
        <v>98</v>
      </c>
      <c r="H54" s="123"/>
      <c r="I54" s="124"/>
      <c r="J54" s="25">
        <f t="shared" si="5"/>
        <v>23</v>
      </c>
      <c r="K54" s="26">
        <f t="shared" si="4"/>
        <v>16095.66</v>
      </c>
      <c r="L54" s="26">
        <f>ROUND(1127.15*1.02,2)</f>
        <v>1149.69</v>
      </c>
    </row>
    <row r="55" spans="1:12" x14ac:dyDescent="0.25">
      <c r="A55" s="32" t="s">
        <v>99</v>
      </c>
      <c r="B55" s="32" t="s">
        <v>91</v>
      </c>
      <c r="C55" s="32" t="s">
        <v>95</v>
      </c>
      <c r="D55" s="32" t="s">
        <v>95</v>
      </c>
      <c r="E55" s="26">
        <f>ROUND(52.52*1.02,2)</f>
        <v>53.57</v>
      </c>
      <c r="F55" s="26">
        <f>ROUND(78.78*1.02,2)</f>
        <v>80.36</v>
      </c>
      <c r="G55" s="71" t="s">
        <v>100</v>
      </c>
      <c r="H55" s="71" t="s">
        <v>101</v>
      </c>
      <c r="I55" s="71" t="s">
        <v>102</v>
      </c>
      <c r="J55" s="25">
        <f t="shared" si="5"/>
        <v>24</v>
      </c>
      <c r="K55" s="26">
        <f t="shared" si="4"/>
        <v>17637.2</v>
      </c>
      <c r="L55" s="26">
        <f>ROUND(1235.1*1.02,2)</f>
        <v>1259.8</v>
      </c>
    </row>
    <row r="56" spans="1:12" x14ac:dyDescent="0.25">
      <c r="A56" s="32" t="s">
        <v>103</v>
      </c>
      <c r="B56" s="32" t="s">
        <v>104</v>
      </c>
      <c r="C56" s="32" t="s">
        <v>92</v>
      </c>
      <c r="D56" s="49" t="s">
        <v>105</v>
      </c>
      <c r="E56" s="26">
        <f>ROUND(18.64*1.02,2)</f>
        <v>19.010000000000002</v>
      </c>
      <c r="F56" s="26">
        <f>ROUND(27.97*1.02,2)</f>
        <v>28.53</v>
      </c>
      <c r="G56" s="72">
        <v>17.93</v>
      </c>
      <c r="H56" s="72">
        <f>G56*30-0.06</f>
        <v>537.84</v>
      </c>
      <c r="I56" s="72">
        <f>H56*14-10.17</f>
        <v>7519.59</v>
      </c>
      <c r="J56" s="25">
        <f t="shared" si="5"/>
        <v>25</v>
      </c>
      <c r="K56" s="26">
        <f t="shared" si="4"/>
        <v>19181.960000000003</v>
      </c>
      <c r="L56" s="26">
        <f>ROUND(1343.27*1.02,2)</f>
        <v>1370.14</v>
      </c>
    </row>
    <row r="57" spans="1:12" x14ac:dyDescent="0.25">
      <c r="A57" s="32" t="s">
        <v>106</v>
      </c>
      <c r="B57" s="32" t="s">
        <v>104</v>
      </c>
      <c r="C57" s="32" t="s">
        <v>95</v>
      </c>
      <c r="D57" s="49" t="s">
        <v>105</v>
      </c>
      <c r="E57" s="26">
        <f>ROUND(40.4*1.02,2)</f>
        <v>41.21</v>
      </c>
      <c r="F57" s="26">
        <f>ROUND(60.62*1.02,2)</f>
        <v>61.83</v>
      </c>
      <c r="G57" s="122" t="s">
        <v>107</v>
      </c>
      <c r="H57" s="123"/>
      <c r="I57" s="124"/>
      <c r="J57" s="25">
        <f t="shared" si="5"/>
        <v>26</v>
      </c>
      <c r="K57" s="26">
        <f t="shared" si="4"/>
        <v>20578.740000000002</v>
      </c>
      <c r="L57" s="26">
        <f>ROUND(1441.09*1.02,2)</f>
        <v>1469.91</v>
      </c>
    </row>
    <row r="58" spans="1:12" x14ac:dyDescent="0.25">
      <c r="A58" s="125" t="s">
        <v>108</v>
      </c>
      <c r="B58" s="126"/>
      <c r="C58" s="126"/>
      <c r="D58" s="126"/>
      <c r="E58" s="127"/>
      <c r="G58" s="71" t="s">
        <v>100</v>
      </c>
      <c r="H58" s="71" t="s">
        <v>101</v>
      </c>
      <c r="I58" s="71" t="s">
        <v>102</v>
      </c>
      <c r="J58" s="25">
        <f t="shared" si="5"/>
        <v>27</v>
      </c>
      <c r="K58" s="26">
        <f t="shared" si="4"/>
        <v>21975.24</v>
      </c>
      <c r="L58" s="26">
        <f>ROUND(1538.88*1.02,2)</f>
        <v>1569.66</v>
      </c>
    </row>
    <row r="59" spans="1:12" x14ac:dyDescent="0.25">
      <c r="A59" s="85" t="s">
        <v>109</v>
      </c>
      <c r="B59" s="86"/>
      <c r="C59" s="85" t="s">
        <v>110</v>
      </c>
      <c r="D59" s="86"/>
      <c r="E59" s="25" t="s">
        <v>111</v>
      </c>
      <c r="G59" s="72">
        <f>G56</f>
        <v>17.93</v>
      </c>
      <c r="H59" s="72">
        <f>G59*30-0.06</f>
        <v>537.84</v>
      </c>
      <c r="I59" s="72">
        <f>H59*12-0.05</f>
        <v>6454.03</v>
      </c>
      <c r="J59" s="25">
        <f t="shared" si="5"/>
        <v>28</v>
      </c>
      <c r="K59" s="26">
        <f t="shared" si="4"/>
        <v>23372.16</v>
      </c>
      <c r="L59" s="26">
        <f>ROUND(1636.71*1.02,2)</f>
        <v>1669.44</v>
      </c>
    </row>
    <row r="60" spans="1:12" x14ac:dyDescent="0.25">
      <c r="A60" s="85" t="s">
        <v>112</v>
      </c>
      <c r="B60" s="86"/>
      <c r="C60" s="85" t="s">
        <v>113</v>
      </c>
      <c r="D60" s="86"/>
      <c r="E60" s="26">
        <f>ROUND(31.52*1.02,2)</f>
        <v>32.15</v>
      </c>
      <c r="G60" s="107" t="s">
        <v>114</v>
      </c>
      <c r="H60" s="108"/>
      <c r="I60" s="109"/>
      <c r="J60" s="25">
        <f t="shared" si="5"/>
        <v>29</v>
      </c>
      <c r="K60" s="26">
        <f t="shared" si="4"/>
        <v>24768.240000000002</v>
      </c>
      <c r="L60" s="26">
        <f>ROUND(1734.47*1.02,2)</f>
        <v>1769.16</v>
      </c>
    </row>
    <row r="61" spans="1:12" x14ac:dyDescent="0.25">
      <c r="A61" s="85" t="s">
        <v>112</v>
      </c>
      <c r="B61" s="86"/>
      <c r="C61" s="85" t="s">
        <v>115</v>
      </c>
      <c r="D61" s="86"/>
      <c r="E61" s="26">
        <f>ROUND(68.31*1.02,2)</f>
        <v>69.680000000000007</v>
      </c>
      <c r="G61" s="112" t="s">
        <v>116</v>
      </c>
      <c r="H61" s="113"/>
      <c r="I61" s="114"/>
      <c r="J61" s="25">
        <f t="shared" si="5"/>
        <v>30</v>
      </c>
      <c r="K61" s="26">
        <f t="shared" si="4"/>
        <v>26165.3</v>
      </c>
      <c r="L61" s="26">
        <f>ROUND(1832.3*1.02,2)</f>
        <v>1868.95</v>
      </c>
    </row>
    <row r="62" spans="1:12" x14ac:dyDescent="0.25">
      <c r="A62" s="85" t="s">
        <v>117</v>
      </c>
      <c r="B62" s="86"/>
      <c r="C62" s="85" t="s">
        <v>113</v>
      </c>
      <c r="D62" s="86"/>
      <c r="E62" s="26">
        <f>ROUND(10.52*1.02,2)</f>
        <v>10.73</v>
      </c>
      <c r="G62" s="52" t="s">
        <v>100</v>
      </c>
      <c r="H62" s="52" t="s">
        <v>101</v>
      </c>
      <c r="I62" s="25" t="s">
        <v>102</v>
      </c>
      <c r="J62" s="107" t="s">
        <v>118</v>
      </c>
      <c r="K62" s="108"/>
      <c r="L62" s="109"/>
    </row>
    <row r="63" spans="1:12" x14ac:dyDescent="0.25">
      <c r="A63" s="85" t="s">
        <v>117</v>
      </c>
      <c r="B63" s="86"/>
      <c r="C63" s="85" t="s">
        <v>115</v>
      </c>
      <c r="D63" s="86"/>
      <c r="E63" s="26">
        <f>ROUND(22.8*1.02,2)</f>
        <v>23.26</v>
      </c>
      <c r="G63" s="26">
        <v>31.66</v>
      </c>
      <c r="H63" s="26">
        <v>950</v>
      </c>
      <c r="I63" s="26">
        <f>H63*14</f>
        <v>13300</v>
      </c>
      <c r="J63" s="112" t="s">
        <v>119</v>
      </c>
      <c r="K63" s="113"/>
      <c r="L63" s="114"/>
    </row>
    <row r="64" spans="1:12" x14ac:dyDescent="0.25">
      <c r="A64" s="107" t="s">
        <v>120</v>
      </c>
      <c r="B64" s="108"/>
      <c r="C64" s="108"/>
      <c r="D64" s="108"/>
      <c r="E64" s="108"/>
      <c r="F64" s="109"/>
      <c r="G64" s="107" t="s">
        <v>121</v>
      </c>
      <c r="H64" s="108"/>
      <c r="I64" s="109"/>
      <c r="J64" s="23"/>
      <c r="K64" s="50"/>
      <c r="L64" s="32" t="s">
        <v>11</v>
      </c>
    </row>
    <row r="65" spans="1:12" x14ac:dyDescent="0.25">
      <c r="A65" s="112" t="s">
        <v>122</v>
      </c>
      <c r="B65" s="113"/>
      <c r="C65" s="113"/>
      <c r="D65" s="113"/>
      <c r="E65" s="113"/>
      <c r="F65" s="114"/>
      <c r="G65" s="112" t="s">
        <v>123</v>
      </c>
      <c r="H65" s="113"/>
      <c r="I65" s="114"/>
      <c r="J65" s="64" t="s">
        <v>124</v>
      </c>
      <c r="K65" s="64"/>
      <c r="L65" s="55">
        <f>ROUND(0.122109*1.02,6)</f>
        <v>0.124551</v>
      </c>
    </row>
    <row r="66" spans="1:12" x14ac:dyDescent="0.25">
      <c r="A66" s="71" t="s">
        <v>125</v>
      </c>
      <c r="B66" s="71" t="s">
        <v>126</v>
      </c>
      <c r="C66" s="122" t="s">
        <v>127</v>
      </c>
      <c r="D66" s="124"/>
      <c r="E66" s="122" t="s">
        <v>128</v>
      </c>
      <c r="F66" s="124"/>
      <c r="G66" s="66"/>
      <c r="H66" s="73" t="s">
        <v>129</v>
      </c>
      <c r="I66" s="73" t="s">
        <v>130</v>
      </c>
      <c r="J66" s="64" t="s">
        <v>131</v>
      </c>
      <c r="K66" s="64"/>
      <c r="L66" s="26">
        <f>ROUND(0.65*1.02,2)</f>
        <v>0.66</v>
      </c>
    </row>
    <row r="67" spans="1:12" x14ac:dyDescent="0.25">
      <c r="A67" s="73">
        <v>1</v>
      </c>
      <c r="B67" s="73" t="s">
        <v>1</v>
      </c>
      <c r="C67" s="72">
        <v>1466.4</v>
      </c>
      <c r="D67" s="73" t="s">
        <v>44</v>
      </c>
      <c r="E67" s="72">
        <v>4070.1</v>
      </c>
      <c r="F67" s="73" t="s">
        <v>44</v>
      </c>
      <c r="G67" s="66" t="s">
        <v>132</v>
      </c>
      <c r="H67" s="74">
        <v>42.56</v>
      </c>
      <c r="I67" s="66">
        <v>5.85</v>
      </c>
      <c r="J67" s="64" t="s">
        <v>133</v>
      </c>
      <c r="K67" s="64"/>
      <c r="L67" s="55">
        <f>ROUND(0.232848*1.02,6)</f>
        <v>0.23750499999999999</v>
      </c>
    </row>
    <row r="68" spans="1:12" x14ac:dyDescent="0.25">
      <c r="A68" s="73">
        <v>2</v>
      </c>
      <c r="B68" s="73" t="s">
        <v>2</v>
      </c>
      <c r="C68" s="72">
        <v>1215.9000000000001</v>
      </c>
      <c r="D68" s="73" t="s">
        <v>44</v>
      </c>
      <c r="E68" s="72">
        <f>E67</f>
        <v>4070.1</v>
      </c>
      <c r="F68" s="73" t="s">
        <v>44</v>
      </c>
      <c r="G68" s="66" t="s">
        <v>134</v>
      </c>
      <c r="H68" s="66">
        <v>8.49</v>
      </c>
      <c r="I68" s="66"/>
      <c r="J68" s="64" t="s">
        <v>135</v>
      </c>
      <c r="K68" s="64"/>
      <c r="L68" s="55">
        <f>ROUND(0.326354*1.02,6)</f>
        <v>0.33288099999999998</v>
      </c>
    </row>
    <row r="69" spans="1:12" x14ac:dyDescent="0.25">
      <c r="A69" s="73">
        <v>3</v>
      </c>
      <c r="B69" s="73"/>
      <c r="C69" s="72">
        <v>1057.8</v>
      </c>
      <c r="D69" s="73" t="s">
        <v>44</v>
      </c>
      <c r="E69" s="72">
        <f>E67</f>
        <v>4070.1</v>
      </c>
      <c r="F69" s="73" t="s">
        <v>44</v>
      </c>
      <c r="G69" s="75"/>
      <c r="H69" s="75"/>
      <c r="I69" s="75"/>
      <c r="J69" s="128" t="s">
        <v>136</v>
      </c>
      <c r="K69" s="129"/>
      <c r="L69" s="55">
        <f>ROUND(0.076088*1.02,6)</f>
        <v>7.7609999999999998E-2</v>
      </c>
    </row>
    <row r="70" spans="1:12" x14ac:dyDescent="0.25">
      <c r="A70" s="73">
        <v>4</v>
      </c>
      <c r="B70" s="73"/>
      <c r="C70" s="72">
        <v>1050</v>
      </c>
      <c r="D70" s="73" t="s">
        <v>44</v>
      </c>
      <c r="E70" s="72">
        <f>E67</f>
        <v>4070.1</v>
      </c>
      <c r="F70" s="73" t="s">
        <v>44</v>
      </c>
      <c r="H70" s="125" t="s">
        <v>137</v>
      </c>
      <c r="I70" s="126"/>
      <c r="J70" s="126"/>
      <c r="K70" s="126"/>
      <c r="L70" s="127"/>
    </row>
    <row r="71" spans="1:12" x14ac:dyDescent="0.25">
      <c r="A71" s="73">
        <v>5</v>
      </c>
      <c r="B71" s="73" t="s">
        <v>3</v>
      </c>
      <c r="C71" s="72">
        <f>C70</f>
        <v>1050</v>
      </c>
      <c r="D71" s="73" t="s">
        <v>44</v>
      </c>
      <c r="E71" s="72">
        <f>E67</f>
        <v>4070.1</v>
      </c>
      <c r="F71" s="73" t="s">
        <v>44</v>
      </c>
      <c r="H71" s="51"/>
      <c r="I71" s="85" t="s">
        <v>138</v>
      </c>
      <c r="J71" s="86"/>
      <c r="K71" s="85" t="s">
        <v>139</v>
      </c>
      <c r="L71" s="86"/>
    </row>
    <row r="72" spans="1:12" x14ac:dyDescent="0.25">
      <c r="A72" s="73">
        <v>6</v>
      </c>
      <c r="B72" s="73" t="s">
        <v>9</v>
      </c>
      <c r="C72" s="72">
        <f>C70</f>
        <v>1050</v>
      </c>
      <c r="D72" s="73" t="s">
        <v>44</v>
      </c>
      <c r="E72" s="72">
        <f>E67</f>
        <v>4070.1</v>
      </c>
      <c r="F72" s="73" t="s">
        <v>44</v>
      </c>
      <c r="H72" s="52" t="s">
        <v>0</v>
      </c>
      <c r="I72" s="52" t="s">
        <v>10</v>
      </c>
      <c r="J72" s="52" t="s">
        <v>11</v>
      </c>
      <c r="K72" s="52" t="s">
        <v>10</v>
      </c>
      <c r="L72" s="52" t="s">
        <v>11</v>
      </c>
    </row>
    <row r="73" spans="1:12" x14ac:dyDescent="0.25">
      <c r="A73" s="73">
        <v>7</v>
      </c>
      <c r="B73" s="73" t="s">
        <v>8</v>
      </c>
      <c r="C73" s="72">
        <f>C70</f>
        <v>1050</v>
      </c>
      <c r="D73" s="73" t="s">
        <v>44</v>
      </c>
      <c r="E73" s="72">
        <f>E67</f>
        <v>4070.1</v>
      </c>
      <c r="F73" s="73" t="s">
        <v>44</v>
      </c>
      <c r="H73" s="53" t="s">
        <v>4</v>
      </c>
      <c r="I73" s="22"/>
      <c r="J73" s="22"/>
      <c r="K73" s="26">
        <f>L73*14</f>
        <v>1898.26</v>
      </c>
      <c r="L73" s="26">
        <f>ROUND(132.93*1.02,2)</f>
        <v>135.59</v>
      </c>
    </row>
    <row r="74" spans="1:12" x14ac:dyDescent="0.25">
      <c r="A74" s="73">
        <v>8</v>
      </c>
      <c r="B74" s="73"/>
      <c r="C74" s="72">
        <f>C73/30</f>
        <v>35</v>
      </c>
      <c r="D74" s="73" t="s">
        <v>140</v>
      </c>
      <c r="E74" s="72">
        <f>E73/30</f>
        <v>135.66999999999999</v>
      </c>
      <c r="F74" s="73" t="s">
        <v>140</v>
      </c>
      <c r="H74" s="25" t="s">
        <v>141</v>
      </c>
      <c r="I74" s="26">
        <f>J74*14</f>
        <v>3134.8799999999997</v>
      </c>
      <c r="J74" s="26">
        <f>ROUND(219.53*1.02,2)</f>
        <v>223.92</v>
      </c>
      <c r="K74" s="26">
        <f>L74*14</f>
        <v>3796.9399999999996</v>
      </c>
      <c r="L74" s="26">
        <f>ROUND(265.89*1.02,2)</f>
        <v>271.20999999999998</v>
      </c>
    </row>
    <row r="75" spans="1:12" x14ac:dyDescent="0.25">
      <c r="A75" s="73">
        <v>9</v>
      </c>
      <c r="B75" s="73"/>
      <c r="C75" s="72">
        <f>C74</f>
        <v>35</v>
      </c>
      <c r="D75" s="73" t="s">
        <v>140</v>
      </c>
      <c r="E75" s="72">
        <f>E74</f>
        <v>135.66999999999999</v>
      </c>
      <c r="F75" s="73" t="s">
        <v>140</v>
      </c>
      <c r="H75" s="25" t="s">
        <v>142</v>
      </c>
      <c r="I75" s="26">
        <f>J75*14</f>
        <v>6270.32</v>
      </c>
      <c r="J75" s="26">
        <f>ROUND(439.1*1.02,2)</f>
        <v>447.88</v>
      </c>
      <c r="K75" s="26">
        <f>L75*14</f>
        <v>5695.34</v>
      </c>
      <c r="L75" s="26">
        <f>ROUND(398.83*1.02,2)</f>
        <v>406.81</v>
      </c>
    </row>
    <row r="76" spans="1:12" x14ac:dyDescent="0.25">
      <c r="A76" s="73">
        <v>10</v>
      </c>
      <c r="B76" s="73"/>
      <c r="C76" s="72">
        <f>C74</f>
        <v>35</v>
      </c>
      <c r="D76" s="73" t="s">
        <v>140</v>
      </c>
      <c r="E76" s="72">
        <f>E74</f>
        <v>135.66999999999999</v>
      </c>
      <c r="F76" s="73" t="s">
        <v>140</v>
      </c>
      <c r="H76" s="25" t="s">
        <v>143</v>
      </c>
      <c r="I76" s="26">
        <f>J76*14</f>
        <v>9405.1999999999989</v>
      </c>
      <c r="J76" s="26">
        <f>ROUND(658.63*1.02,2)</f>
        <v>671.8</v>
      </c>
      <c r="K76" s="26">
        <f>L76*14</f>
        <v>7593.8799999999992</v>
      </c>
      <c r="L76" s="26">
        <f>ROUND(531.78*1.02,2)</f>
        <v>542.41999999999996</v>
      </c>
    </row>
    <row r="77" spans="1:12" x14ac:dyDescent="0.25">
      <c r="A77" s="73">
        <v>11</v>
      </c>
      <c r="B77" s="73"/>
      <c r="C77" s="72">
        <f>C74</f>
        <v>35</v>
      </c>
      <c r="D77" s="73" t="s">
        <v>140</v>
      </c>
      <c r="E77" s="72">
        <f>E74</f>
        <v>135.66999999999999</v>
      </c>
      <c r="F77" s="73" t="s">
        <v>140</v>
      </c>
      <c r="H77" s="25" t="s">
        <v>144</v>
      </c>
      <c r="I77" s="26">
        <f>J77*14</f>
        <v>12540.64</v>
      </c>
      <c r="J77" s="26">
        <f>ROUND(878.2*1.02,2)</f>
        <v>895.76</v>
      </c>
      <c r="K77" s="22"/>
      <c r="L77" s="22"/>
    </row>
  </sheetData>
  <mergeCells count="61">
    <mergeCell ref="J69:K69"/>
    <mergeCell ref="H70:L70"/>
    <mergeCell ref="I71:J71"/>
    <mergeCell ref="K71:L71"/>
    <mergeCell ref="A64:F64"/>
    <mergeCell ref="G64:I64"/>
    <mergeCell ref="A65:F65"/>
    <mergeCell ref="G65:I65"/>
    <mergeCell ref="C66:D66"/>
    <mergeCell ref="E66:F66"/>
    <mergeCell ref="A62:B62"/>
    <mergeCell ref="C62:D62"/>
    <mergeCell ref="J62:L62"/>
    <mergeCell ref="A63:B63"/>
    <mergeCell ref="C63:D63"/>
    <mergeCell ref="J63:L63"/>
    <mergeCell ref="A60:B60"/>
    <mergeCell ref="C60:D60"/>
    <mergeCell ref="G60:I60"/>
    <mergeCell ref="A61:B61"/>
    <mergeCell ref="C61:D61"/>
    <mergeCell ref="G61:I61"/>
    <mergeCell ref="G53:I53"/>
    <mergeCell ref="G54:I54"/>
    <mergeCell ref="G57:I57"/>
    <mergeCell ref="A58:E58"/>
    <mergeCell ref="A59:B59"/>
    <mergeCell ref="C59:D59"/>
    <mergeCell ref="G52:I52"/>
    <mergeCell ref="A33:G33"/>
    <mergeCell ref="H33:I33"/>
    <mergeCell ref="A35:G35"/>
    <mergeCell ref="H36:I36"/>
    <mergeCell ref="A41:I41"/>
    <mergeCell ref="F42:G42"/>
    <mergeCell ref="H42:I42"/>
    <mergeCell ref="A48:F48"/>
    <mergeCell ref="G48:I48"/>
    <mergeCell ref="A49:F49"/>
    <mergeCell ref="G49:I49"/>
    <mergeCell ref="G50:I50"/>
    <mergeCell ref="A42:B42"/>
    <mergeCell ref="A43:B43"/>
    <mergeCell ref="H27:I27"/>
    <mergeCell ref="H29:I29"/>
    <mergeCell ref="J29:L29"/>
    <mergeCell ref="A30:G30"/>
    <mergeCell ref="H30:I30"/>
    <mergeCell ref="J30:L30"/>
    <mergeCell ref="K4:L4"/>
    <mergeCell ref="A16:L16"/>
    <mergeCell ref="A19:L19"/>
    <mergeCell ref="A25:G25"/>
    <mergeCell ref="H25:I25"/>
    <mergeCell ref="H26:I26"/>
    <mergeCell ref="E1:F1"/>
    <mergeCell ref="C4:D4"/>
    <mergeCell ref="E4:F4"/>
    <mergeCell ref="G4:H4"/>
    <mergeCell ref="I4:J4"/>
    <mergeCell ref="A2:I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D1"/>
    </sheetView>
  </sheetViews>
  <sheetFormatPr baseColWidth="10" defaultRowHeight="15" x14ac:dyDescent="0.25"/>
  <cols>
    <col min="2" max="2" width="49" bestFit="1" customWidth="1"/>
    <col min="3" max="3" width="9.140625" bestFit="1" customWidth="1"/>
    <col min="4" max="4" width="8.140625" customWidth="1"/>
  </cols>
  <sheetData>
    <row r="1" spans="1:5" x14ac:dyDescent="0.25">
      <c r="A1" s="130" t="s">
        <v>159</v>
      </c>
      <c r="B1" s="130"/>
      <c r="C1" s="130"/>
      <c r="D1" s="130"/>
    </row>
    <row r="2" spans="1:5" x14ac:dyDescent="0.25">
      <c r="A2" s="130" t="s">
        <v>147</v>
      </c>
      <c r="B2" s="130"/>
      <c r="C2" s="130"/>
      <c r="D2" s="130"/>
      <c r="E2" s="131"/>
    </row>
    <row r="3" spans="1:5" x14ac:dyDescent="0.25">
      <c r="A3" s="81"/>
      <c r="B3" s="81"/>
      <c r="C3" s="81"/>
      <c r="D3" s="81"/>
    </row>
    <row r="4" spans="1:5" s="78" customFormat="1" x14ac:dyDescent="0.25">
      <c r="A4" s="76" t="s">
        <v>148</v>
      </c>
      <c r="B4" s="77"/>
      <c r="C4" s="76" t="s">
        <v>149</v>
      </c>
      <c r="D4" s="76" t="s">
        <v>150</v>
      </c>
    </row>
    <row r="5" spans="1:5" s="78" customFormat="1" x14ac:dyDescent="0.25">
      <c r="A5" s="79" t="s">
        <v>151</v>
      </c>
      <c r="B5" s="82"/>
      <c r="C5" s="80"/>
      <c r="D5" s="80"/>
    </row>
    <row r="6" spans="1:5" s="78" customFormat="1" x14ac:dyDescent="0.25">
      <c r="A6" s="79" t="s">
        <v>152</v>
      </c>
      <c r="B6" s="82"/>
      <c r="C6" s="80"/>
      <c r="D6" s="80"/>
    </row>
    <row r="7" spans="1:5" s="78" customFormat="1" ht="15" customHeight="1" x14ac:dyDescent="0.25">
      <c r="A7" s="83" t="s">
        <v>153</v>
      </c>
      <c r="B7" s="82" t="s">
        <v>154</v>
      </c>
      <c r="C7" s="80">
        <f>D7*14</f>
        <v>54801.04</v>
      </c>
      <c r="D7" s="80">
        <f>ROUND(3837.61*1.02,2)</f>
        <v>3914.36</v>
      </c>
    </row>
    <row r="8" spans="1:5" s="78" customFormat="1" ht="15" customHeight="1" x14ac:dyDescent="0.25">
      <c r="A8" s="79" t="s">
        <v>155</v>
      </c>
      <c r="B8" s="82"/>
      <c r="C8" s="80"/>
      <c r="D8" s="80"/>
    </row>
    <row r="9" spans="1:5" s="78" customFormat="1" x14ac:dyDescent="0.25">
      <c r="A9" s="84" t="s">
        <v>156</v>
      </c>
      <c r="B9" s="82" t="s">
        <v>157</v>
      </c>
      <c r="C9" s="80">
        <v>54801.04</v>
      </c>
      <c r="D9" s="80">
        <v>3914.36</v>
      </c>
    </row>
    <row r="10" spans="1:5" s="78" customFormat="1" x14ac:dyDescent="0.25">
      <c r="A10" s="79"/>
      <c r="B10" s="82" t="s">
        <v>158</v>
      </c>
      <c r="C10" s="80">
        <v>60313.82</v>
      </c>
      <c r="D10" s="80">
        <v>4308.13</v>
      </c>
    </row>
  </sheetData>
  <mergeCells count="2">
    <mergeCell ref="A1:D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 </vt:lpstr>
      <vt:lpstr>Personal Directivo de Libre 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</dc:creator>
  <cp:lastModifiedBy>N000916</cp:lastModifiedBy>
  <cp:lastPrinted>2020-04-01T13:12:38Z</cp:lastPrinted>
  <dcterms:created xsi:type="dcterms:W3CDTF">2018-12-19T16:56:02Z</dcterms:created>
  <dcterms:modified xsi:type="dcterms:W3CDTF">2020-04-29T08:59:57Z</dcterms:modified>
</cp:coreProperties>
</file>